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20" windowWidth="13725" windowHeight="12165" activeTab="4"/>
  </bookViews>
  <sheets>
    <sheet name="Parameter" sheetId="1" r:id="rId1"/>
    <sheet name="Pflegegeld" sheetId="2" r:id="rId2"/>
    <sheet name="Einkommen" sheetId="3" r:id="rId3"/>
    <sheet name="Unterhalt" sheetId="4" r:id="rId4"/>
    <sheet name="Eingabeblatt" sheetId="5" r:id="rId5"/>
  </sheets>
  <definedNames/>
  <calcPr fullCalcOnLoad="1"/>
</workbook>
</file>

<file path=xl/comments2.xml><?xml version="1.0" encoding="utf-8"?>
<comments xmlns="http://schemas.openxmlformats.org/spreadsheetml/2006/main">
  <authors>
    <author>U0319309</author>
  </authors>
  <commentList>
    <comment ref="D13" authorId="0">
      <text>
        <r>
          <rPr>
            <b/>
            <sz val="8"/>
            <rFont val="Tahoma"/>
            <family val="2"/>
          </rPr>
          <t>10% des Pflegegeldes der Stufe 3 müssen übrig bleiben</t>
        </r>
        <r>
          <rPr>
            <sz val="8"/>
            <rFont val="Tahoma"/>
            <family val="2"/>
          </rPr>
          <t xml:space="preserve">
</t>
        </r>
      </text>
    </comment>
  </commentList>
</comments>
</file>

<file path=xl/comments5.xml><?xml version="1.0" encoding="utf-8"?>
<comments xmlns="http://schemas.openxmlformats.org/spreadsheetml/2006/main">
  <authors>
    <author>P?RNBACHER Christoph</author>
    <author>ALBER Margot</author>
  </authors>
  <commentList>
    <comment ref="B22" authorId="0">
      <text>
        <r>
          <rPr>
            <sz val="9"/>
            <rFont val="Tahoma"/>
            <family val="2"/>
          </rPr>
          <t>In dieser Spalte müssen alle Daten aus Sicht des Vaters eingegeben werden. Die Daten aus Sicht der Mutter sind in der nächsten Spalte einzugeben. Es müssen beide Spalten befüllt werden, um eine Kostenbeitragsverpflichtung sowohl des Vaters als auch der Mutter berechnen zu können.
Ausnahme: § 4 Abs. 5 Kostenbeitrags-Verordnung - die Kostenbeitragspflicht ist bei Inanspruchnahme der Leistungen Tagesbetreuung für Kinder und Jugendliche, Internat und für Vollzeitbegleitetes Wohnen für Kinder und Jugendliche inklusive Tagesstruktur - Sozialpsychiatrie nur aus dem Einkommen des besser verdienenden Elternteiles zu berechnen.</t>
        </r>
      </text>
    </comment>
    <comment ref="C22" authorId="0">
      <text>
        <r>
          <rPr>
            <sz val="9"/>
            <rFont val="Tahoma"/>
            <family val="2"/>
          </rPr>
          <t>In dieser Spalte müssen alle Daten aus Sicht der Mutter eingegeben werden. Die Daten aus Sicht des Vaters sind in der vorhergehenden Spalte einzugeben. Es müssen beide Spalten befüllt werden, um eine Kostenbeitragsverpflichtung sowohl des Vaters als auch der Mutter berechnen zu können.
Ausnahme: § 4 Abs. 5 Kostenbeitrags-Verordnung - die Kostenbeitragspflicht ist bei Inanspruchnahme der Leistungen Tagesbetreuung für Kinder und Jugendliche, Internat und für Vollzeitbegleitetes Wohnen für Kinder und Jugendliche inklusive Tagesstruktur - Sozialpsychiatrie nur aus dem Einkommen des besser verdienenden Elternteiles zu berechnen.</t>
        </r>
      </text>
    </comment>
    <comment ref="B3" authorId="0">
      <text>
        <r>
          <rPr>
            <sz val="9"/>
            <rFont val="Tahoma"/>
            <family val="2"/>
          </rPr>
          <t xml:space="preserve">In den violetten Felder ist für die zutreffende Leistung ein "j" einzugeben, um für diese den Kostenbeitrag zu berechnen. Es kann immer nur für eine Leistung ein j eingegeben werden.
</t>
        </r>
      </text>
    </comment>
    <comment ref="D37" authorId="1">
      <text>
        <r>
          <rPr>
            <b/>
            <sz val="9"/>
            <rFont val="Tahoma"/>
            <family val="0"/>
          </rPr>
          <t xml:space="preserve">Hinweis für halbtägige Tagesstruktur:
Bei der Berechnung von Halbtagesleistungen wird der Kostenbeitrag bereits halbiert errechnet (siehe Kostenbeitrag pro Einheit), weshalb in diesem Feld Ganztageseinheiten ausgewiesen werden.   </t>
        </r>
      </text>
    </comment>
  </commentList>
</comments>
</file>

<file path=xl/sharedStrings.xml><?xml version="1.0" encoding="utf-8"?>
<sst xmlns="http://schemas.openxmlformats.org/spreadsheetml/2006/main" count="227" uniqueCount="128">
  <si>
    <t>Name:</t>
  </si>
  <si>
    <t>Auszahlungsbetrag Pflegegeld</t>
  </si>
  <si>
    <t>mtl. Nettoeinkommen</t>
  </si>
  <si>
    <t>Anzahl der Unterhaltsberechtigten</t>
  </si>
  <si>
    <t>a) Kinderunterhalt (Anspruch des behinderten Kindes gegenüber Eltern)</t>
  </si>
  <si>
    <t>Alter des Maßnahmenempfängers</t>
  </si>
  <si>
    <t>Nettoeinkommen des Ehepartners</t>
  </si>
  <si>
    <t>Anzahl der weiteren Unterhaltsberechtigten</t>
  </si>
  <si>
    <t>Anzahl der weiteren Unterhaltsberechtigten unter 10 Jahren</t>
  </si>
  <si>
    <t>Anzahl der weiteren Unterhaltsberechtigten über 10 Jahren</t>
  </si>
  <si>
    <t>Kostenbeitrag aus Pflegegeld</t>
  </si>
  <si>
    <t>Kostenbeitrag aus eigenem Einkommen</t>
  </si>
  <si>
    <t>Kostenbeitrag aus Unterhalt</t>
  </si>
  <si>
    <t>Kostenbeitrag pro Monat</t>
  </si>
  <si>
    <t>Nettoeinkommen des Verpflichteten</t>
  </si>
  <si>
    <t>Nettoeinkommen des Maßnahmenempfängers</t>
  </si>
  <si>
    <t>Gesamtkostenbeitrag pro Monat</t>
  </si>
  <si>
    <t>n</t>
  </si>
  <si>
    <t>EINKOMMEN</t>
  </si>
  <si>
    <t>Alleinstehend ohne Unterhaltsverpflichtung</t>
  </si>
  <si>
    <t>1. Unterhaltsberechtigter</t>
  </si>
  <si>
    <t>2. Unterhaltsberechtigter</t>
  </si>
  <si>
    <t>3. Unterhaltsberechtigter</t>
  </si>
  <si>
    <t>4. Unterhaltsberechtigter</t>
  </si>
  <si>
    <t>5. Unterhaltsberechtigter</t>
  </si>
  <si>
    <t>Ehepartner</t>
  </si>
  <si>
    <t>Unterhalt</t>
  </si>
  <si>
    <t>Unterhaltsrest</t>
  </si>
  <si>
    <t>&lt;6</t>
  </si>
  <si>
    <t>&gt;=6 bis &lt;10</t>
  </si>
  <si>
    <t>&gt;=10 bis &lt;15</t>
  </si>
  <si>
    <t>&gt;=15</t>
  </si>
  <si>
    <t>einkommenslos bis 1/9</t>
  </si>
  <si>
    <t>&gt;1/9 bis &lt;=2/9</t>
  </si>
  <si>
    <t>&gt;2/9 bis &lt;= 3/9</t>
  </si>
  <si>
    <t xml:space="preserve">&gt;3/9 </t>
  </si>
  <si>
    <t>Unterhaltsberechtigte unter 10 Jahren</t>
  </si>
  <si>
    <t>Unterhaltsberechtigte über 10 Jahren</t>
  </si>
  <si>
    <t>2,5 facher Regelbedarf:</t>
  </si>
  <si>
    <t>&lt;3 Jahre</t>
  </si>
  <si>
    <t>&gt;=3 bis &lt;6 Jahre</t>
  </si>
  <si>
    <t>&gt;=6 bis &lt;10 Jahre</t>
  </si>
  <si>
    <t>&gt;=10 bis &lt;15 Jahre</t>
  </si>
  <si>
    <t>&gt;=15 bis &lt;19 Jahre</t>
  </si>
  <si>
    <t>&gt;=19 Jahre</t>
  </si>
  <si>
    <t>Ehegattenunterhalt:</t>
  </si>
  <si>
    <t>Nettoeinkommen des Unterhaltsberechtigten</t>
  </si>
  <si>
    <t>Ehegattenunterhalt</t>
  </si>
  <si>
    <t xml:space="preserve">Unterhaltsberechtigte </t>
  </si>
  <si>
    <t>Unterhaltsanspruch</t>
  </si>
  <si>
    <t>Pflegegeldrest</t>
  </si>
  <si>
    <t>Pflegegeldstufe 1</t>
  </si>
  <si>
    <t>Pflegegeldstufe 2</t>
  </si>
  <si>
    <t>Pflegegeldstufe 3</t>
  </si>
  <si>
    <t>Pflegegeldstufe 4</t>
  </si>
  <si>
    <t>Pflegegeldstufe 5</t>
  </si>
  <si>
    <t>Pflegegeldstufe 6</t>
  </si>
  <si>
    <t>Pflegegeldstufe 7</t>
  </si>
  <si>
    <t>Tagesstruktur</t>
  </si>
  <si>
    <t>Wohnstruktur</t>
  </si>
  <si>
    <t>j</t>
  </si>
  <si>
    <t>Schule extern</t>
  </si>
  <si>
    <t>Einkommen - Selbstbehalt</t>
  </si>
  <si>
    <t>Summe Unterhaltsberechtigter 
(=Maßnahmenempfänger + Ehepartner ohne Einkommen + weitere Unterhaltsberechtigte)</t>
  </si>
  <si>
    <t>maßgebendes Existenzminimum
gemäß Summe Unterhaltsberechtigter</t>
  </si>
  <si>
    <t>Bedingung</t>
  </si>
  <si>
    <t>Existenzminimum gem. Anzahl Unterhaltsberechtigter</t>
  </si>
  <si>
    <t>Summe weitere Unterhaltsberechtigte</t>
  </si>
  <si>
    <t>Nettoeinkommen Ehepartner</t>
  </si>
  <si>
    <t>Stunden pro Monat</t>
  </si>
  <si>
    <t>Summe Unterhaltsberechtigter 
(=Maßnahmenempfänger
+ Ehepartner ohne Einkommen
+ weitere Unterhaltsberechtigte)</t>
  </si>
  <si>
    <t>&gt;=4</t>
  </si>
  <si>
    <t>&gt;0</t>
  </si>
  <si>
    <t>Summe Unterhaltsberechtigter 
(=Maßnahmenempfänger ohne Einkommen + weitere Unterhaltsberechtigte)</t>
  </si>
  <si>
    <t>Summe Unterhaltsberechtigter 
(=Maßnahmenempfänger ohne Einkommen
+ weitere Unterhaltsberechtigte)</t>
  </si>
  <si>
    <t>&gt;=5</t>
  </si>
  <si>
    <t>Suchkriterium für "sverweis"</t>
  </si>
  <si>
    <t>Schule intern</t>
  </si>
  <si>
    <t>Wohngemeinschaften</t>
  </si>
  <si>
    <t>Kostenbeitrag</t>
  </si>
  <si>
    <t>Einkommen - Kostenbeitrag</t>
  </si>
  <si>
    <t>§ 291 b EO 75%</t>
  </si>
  <si>
    <t>Einkommen des Verpflichteten - Kostenbeitrag</t>
  </si>
  <si>
    <t>Vater</t>
  </si>
  <si>
    <t>Mutter</t>
  </si>
  <si>
    <t>Nettoeinkommen des Verpflichteten (Vater/Mutter)</t>
  </si>
  <si>
    <t>Nettoeinkommen des Ehepartners des Unterhaltsverpflichteten</t>
  </si>
  <si>
    <t>Schule extern halbtägig</t>
  </si>
  <si>
    <t>Kostenbeitrag pro Einheit (Arbeitstag, Kalendertag, Halbtag)</t>
  </si>
  <si>
    <t>Faktor</t>
  </si>
  <si>
    <t>maßgebender Kostenbeitrag</t>
  </si>
  <si>
    <t>strukturbezogener Kostenbeitrag</t>
  </si>
  <si>
    <t>maßgebende Struktur
gemäß Eingabetabelle</t>
  </si>
  <si>
    <t>Kommentar</t>
  </si>
  <si>
    <t>OZ</t>
  </si>
  <si>
    <t>Geb.Datum</t>
  </si>
  <si>
    <t>Person</t>
  </si>
  <si>
    <t>GZ</t>
  </si>
  <si>
    <t>Akt</t>
  </si>
  <si>
    <t>Mandant</t>
  </si>
  <si>
    <t>SBA</t>
  </si>
  <si>
    <t>Tagesstruktur iVm BMB</t>
  </si>
  <si>
    <t>b) Ehegattenunterhalt (Anspruch des Maßnahmenempfängers ohne Einkommen gegenüber Ehegatten)</t>
  </si>
  <si>
    <t>Anmerkungen</t>
  </si>
  <si>
    <t>Halbtagesstruktur</t>
  </si>
  <si>
    <t>Halbtagesstruktur iVm BMB</t>
  </si>
  <si>
    <t>Kostenbeitrag mit Berücksichtigung von 10%</t>
  </si>
  <si>
    <t>Kostenbeitragsrechner für ambulante und stationäre Leistungen</t>
  </si>
  <si>
    <t>BATH/BATI in Verbindung mit mobiler Begleitung (BMB) halbtägig</t>
  </si>
  <si>
    <t>Wohnen exkl. Tagesstruktur (BWH, BWHI),                                    Wohnen - Berufsvorbereitung (BVW)</t>
  </si>
  <si>
    <t>Maximal lt. VO für Tagesbetreuung Kinder- und Jugendliche</t>
  </si>
  <si>
    <t>Maximal lt. VO für Internat und Wohnen für Kinder- und Jugendliche</t>
  </si>
  <si>
    <t xml:space="preserve">Tagesstruktur (BATH, BATI), Berufsvorbereitung (BABV) </t>
  </si>
  <si>
    <t xml:space="preserve">Tagesstruktur (BATH, BATI), Berufsvorbereitung (BABV) - halbtägig </t>
  </si>
  <si>
    <r>
      <t>Gibt es einen Ehepartner des Unterhaltsverpflichteten? (j/n)</t>
    </r>
    <r>
      <rPr>
        <sz val="12"/>
        <color indexed="10"/>
        <rFont val="Arial"/>
        <family val="2"/>
      </rPr>
      <t>-Pflichtfeld</t>
    </r>
  </si>
  <si>
    <t>Tagesbetreuung für Kinder und Jugendliche (BLE,BLEI,BSE,BSEI)</t>
  </si>
  <si>
    <t>Tagesbetreuung für Kinder und Jugendliche halbtägig</t>
  </si>
  <si>
    <t>Internat (BLI, BLII, BSI, BSII), Vollzeitbegleitetes Wohnen für Kinder und Jugendliche inkl. Tagesstruktur - Sozialpsychiatrie ( PWGJ)</t>
  </si>
  <si>
    <t>Begleitetes Wohnen in einer Wohngemeinschaft (BWG), Begleitetes Wohnen exkl. bzw. inkl. Tagesstruktur - Sozialpsychatrie (PWG, PWGG)</t>
  </si>
  <si>
    <t xml:space="preserve">BATH/BATI in Verbindung mit mobiler Begleitung (BMB) </t>
  </si>
  <si>
    <t>Internat/Wohnen Kinder</t>
  </si>
  <si>
    <t>Tagesbetreuung extern halbtägig</t>
  </si>
  <si>
    <t>Tagesbetreuung extern</t>
  </si>
  <si>
    <t>NEU ab 01.01.2021</t>
  </si>
  <si>
    <t>NEU ab 01.01.2020</t>
  </si>
  <si>
    <t>NEU ab 01.01.2022</t>
  </si>
  <si>
    <t>NEU ab 01.01.2023</t>
  </si>
  <si>
    <t>NEU ab 01.01.2019</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</si>
</sst>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_-* #,##0.00\ [$€-407]_-;\-* #,##0.00\ [$€-407]_-;_-* &quot;-&quot;??\ [$€-407]_-;_-@_-"/>
  </numFmts>
  <fonts count="59">
    <font>
      <sz val="10"/>
      <name val="Arial"/>
      <family val="0"/>
    </font>
    <font>
      <sz val="11"/>
      <color indexed="8"/>
      <name val="Calibri"/>
      <family val="2"/>
    </font>
    <font>
      <sz val="8"/>
      <name val="Arial"/>
      <family val="2"/>
    </font>
    <font>
      <sz val="10"/>
      <color indexed="10"/>
      <name val="Arial"/>
      <family val="2"/>
    </font>
    <font>
      <sz val="12"/>
      <name val="Arial"/>
      <family val="2"/>
    </font>
    <font>
      <b/>
      <sz val="12"/>
      <name val="Arial"/>
      <family val="2"/>
    </font>
    <font>
      <i/>
      <sz val="12"/>
      <name val="Arial"/>
      <family val="2"/>
    </font>
    <font>
      <b/>
      <sz val="12"/>
      <color indexed="10"/>
      <name val="Arial"/>
      <family val="2"/>
    </font>
    <font>
      <sz val="8"/>
      <name val="Tahoma"/>
      <family val="2"/>
    </font>
    <font>
      <b/>
      <sz val="8"/>
      <name val="Tahoma"/>
      <family val="2"/>
    </font>
    <font>
      <b/>
      <sz val="14"/>
      <color indexed="57"/>
      <name val="Arial"/>
      <family val="2"/>
    </font>
    <font>
      <b/>
      <sz val="12"/>
      <color indexed="57"/>
      <name val="Arial"/>
      <family val="2"/>
    </font>
    <font>
      <sz val="12"/>
      <color indexed="10"/>
      <name val="Arial"/>
      <family val="2"/>
    </font>
    <font>
      <i/>
      <sz val="11"/>
      <name val="Arial"/>
      <family val="2"/>
    </font>
    <font>
      <b/>
      <sz val="10"/>
      <name val="Arial"/>
      <family val="2"/>
    </font>
    <font>
      <sz val="9"/>
      <name val="Tahoma"/>
      <family val="2"/>
    </font>
    <font>
      <b/>
      <sz val="9"/>
      <name val="Tahoma"/>
      <family val="0"/>
    </font>
    <font>
      <sz val="11"/>
      <color indexed="9"/>
      <name val="Calibri"/>
      <family val="2"/>
    </font>
    <font>
      <b/>
      <sz val="11"/>
      <color indexed="63"/>
      <name val="Calibri"/>
      <family val="2"/>
    </font>
    <font>
      <b/>
      <sz val="11"/>
      <color indexed="52"/>
      <name val="Calibri"/>
      <family val="2"/>
    </font>
    <font>
      <u val="single"/>
      <sz val="10"/>
      <color indexed="20"/>
      <name val="Arial"/>
      <family val="0"/>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color indexed="10"/>
      <name val="Arial"/>
      <family val="2"/>
    </font>
    <font>
      <b/>
      <sz val="10"/>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0"/>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FF0000"/>
      <name val="Arial"/>
      <family val="2"/>
    </font>
    <font>
      <b/>
      <sz val="10"/>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6"/>
        <bgColor indexed="64"/>
      </patternFill>
    </fill>
    <fill>
      <patternFill patternType="solid">
        <fgColor rgb="FFCC99FF"/>
        <bgColor indexed="64"/>
      </patternFill>
    </fill>
    <fill>
      <patternFill patternType="solid">
        <fgColor rgb="FF92D050"/>
        <bgColor indexed="64"/>
      </patternFill>
    </fill>
  </fills>
  <borders count="6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thin"/>
      <bottom style="thin"/>
    </border>
    <border>
      <left style="medium"/>
      <right/>
      <top style="medium"/>
      <bottom style="medium"/>
    </border>
    <border>
      <left style="medium"/>
      <right style="thin"/>
      <top style="medium"/>
      <bottom style="thin"/>
    </border>
    <border>
      <left style="medium"/>
      <right/>
      <top style="thin"/>
      <bottom style="thin"/>
    </border>
    <border>
      <left style="medium"/>
      <right/>
      <top/>
      <bottom/>
    </border>
    <border>
      <left/>
      <right style="medium"/>
      <top/>
      <bottom/>
    </border>
    <border>
      <left/>
      <right style="medium"/>
      <top/>
      <bottom style="medium"/>
    </border>
    <border>
      <left style="medium"/>
      <right/>
      <top style="thin"/>
      <bottom/>
    </border>
    <border>
      <left style="medium"/>
      <right/>
      <top/>
      <bottom style="thin"/>
    </border>
    <border>
      <left style="medium"/>
      <right style="medium"/>
      <top style="medium"/>
      <bottom style="medium"/>
    </border>
    <border>
      <left style="medium"/>
      <right style="medium"/>
      <top style="thin"/>
      <bottom style="medium"/>
    </border>
    <border>
      <left style="medium"/>
      <right style="medium"/>
      <top/>
      <bottom/>
    </border>
    <border>
      <left style="medium"/>
      <right style="thin"/>
      <top style="thin"/>
      <bottom/>
    </border>
    <border>
      <left style="medium"/>
      <right style="thin"/>
      <top style="medium"/>
      <bottom style="medium"/>
    </border>
    <border>
      <left style="thin"/>
      <right style="thin"/>
      <top style="medium"/>
      <bottom style="medium"/>
    </border>
    <border>
      <left style="medium"/>
      <right style="thin"/>
      <top style="medium"/>
      <bottom/>
    </border>
    <border>
      <left style="thin"/>
      <right style="thin"/>
      <top style="medium"/>
      <bottom/>
    </border>
    <border>
      <left style="thin"/>
      <right style="thin"/>
      <top/>
      <bottom/>
    </border>
    <border>
      <left style="thin"/>
      <right style="thin"/>
      <top/>
      <bottom style="medium"/>
    </border>
    <border>
      <left style="thin"/>
      <right style="medium"/>
      <top style="medium"/>
      <bottom style="medium"/>
    </border>
    <border>
      <left style="thin"/>
      <right style="medium"/>
      <top style="medium"/>
      <bottom/>
    </border>
    <border>
      <left style="thin"/>
      <right style="medium"/>
      <top/>
      <bottom/>
    </border>
    <border>
      <left style="thin"/>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top/>
      <bottom style="thin"/>
    </border>
    <border>
      <left/>
      <right style="medium"/>
      <top/>
      <bottom style="thin"/>
    </border>
    <border>
      <left/>
      <right/>
      <top style="medium"/>
      <bottom style="medium"/>
    </border>
    <border>
      <left/>
      <right style="medium"/>
      <top style="medium"/>
      <bottom style="medium"/>
    </border>
    <border>
      <left style="medium"/>
      <right style="medium"/>
      <top/>
      <bottom style="medium"/>
    </border>
    <border>
      <left style="medium"/>
      <right style="medium"/>
      <top style="thin"/>
      <bottom style="thin"/>
    </border>
    <border>
      <left style="medium"/>
      <right style="medium"/>
      <top style="thin"/>
      <bottom/>
    </border>
    <border>
      <left style="medium"/>
      <right style="medium"/>
      <top/>
      <bottom style="thin"/>
    </border>
    <border>
      <left style="thin"/>
      <right/>
      <top style="thin"/>
      <bottom/>
    </border>
    <border>
      <left/>
      <right style="medium"/>
      <top style="thin"/>
      <bottom/>
    </border>
    <border>
      <left style="thin"/>
      <right style="medium"/>
      <top style="thin"/>
      <bottom style="thin"/>
    </border>
    <border>
      <left/>
      <right style="medium"/>
      <top style="thin"/>
      <bottom style="medium"/>
    </border>
    <border>
      <left/>
      <right style="medium"/>
      <top style="medium"/>
      <bottom style="thin"/>
    </border>
    <border>
      <left style="medium"/>
      <right style="medium"/>
      <top style="medium"/>
      <bottom/>
    </border>
    <border>
      <left style="thin"/>
      <right/>
      <top style="thin"/>
      <bottom style="thin"/>
    </border>
    <border>
      <left/>
      <right/>
      <top style="thin"/>
      <bottom style="thin"/>
    </border>
    <border>
      <left/>
      <right style="medium"/>
      <top style="thin"/>
      <bottom style="thin"/>
    </border>
    <border>
      <left style="thin"/>
      <right style="thin"/>
      <top style="thin"/>
      <bottom/>
    </border>
    <border>
      <left style="thin"/>
      <right style="medium"/>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0" fontId="41" fillId="0" borderId="0" applyNumberFormat="0" applyFill="0" applyBorder="0" applyAlignment="0" applyProtection="0"/>
    <xf numFmtId="41"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43"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37"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146">
    <xf numFmtId="0" fontId="0" fillId="0" borderId="0" xfId="0" applyAlignment="1">
      <alignment/>
    </xf>
    <xf numFmtId="4" fontId="0" fillId="0" borderId="0" xfId="0" applyNumberFormat="1" applyAlignment="1">
      <alignment/>
    </xf>
    <xf numFmtId="9" fontId="0" fillId="0" borderId="0" xfId="0" applyNumberFormat="1" applyAlignment="1">
      <alignment/>
    </xf>
    <xf numFmtId="4" fontId="0" fillId="0" borderId="0" xfId="0" applyNumberFormat="1" applyFill="1" applyBorder="1" applyAlignment="1">
      <alignment/>
    </xf>
    <xf numFmtId="0" fontId="0" fillId="0" borderId="0" xfId="0" applyAlignment="1">
      <alignment horizontal="center"/>
    </xf>
    <xf numFmtId="4" fontId="0" fillId="0" borderId="0" xfId="0" applyNumberFormat="1" applyFill="1" applyBorder="1" applyAlignment="1">
      <alignment horizontal="right"/>
    </xf>
    <xf numFmtId="0" fontId="0" fillId="0" borderId="0" xfId="0" applyAlignment="1">
      <alignment wrapText="1"/>
    </xf>
    <xf numFmtId="3" fontId="0" fillId="0" borderId="0" xfId="0" applyNumberFormat="1" applyFill="1" applyBorder="1" applyAlignment="1">
      <alignment/>
    </xf>
    <xf numFmtId="3" fontId="0" fillId="0" borderId="0" xfId="0" applyNumberFormat="1" applyFill="1" applyBorder="1" applyAlignment="1">
      <alignment horizontal="right"/>
    </xf>
    <xf numFmtId="4" fontId="0" fillId="0" borderId="0" xfId="0" applyNumberFormat="1" applyAlignment="1">
      <alignment horizontal="right"/>
    </xf>
    <xf numFmtId="2" fontId="0" fillId="0" borderId="0" xfId="0" applyNumberFormat="1" applyAlignment="1">
      <alignment horizontal="right"/>
    </xf>
    <xf numFmtId="2" fontId="0" fillId="0" borderId="0" xfId="0" applyNumberFormat="1" applyAlignment="1">
      <alignment horizontal="center"/>
    </xf>
    <xf numFmtId="0" fontId="0" fillId="0" borderId="10" xfId="0" applyBorder="1" applyAlignment="1">
      <alignment/>
    </xf>
    <xf numFmtId="0" fontId="3" fillId="0" borderId="10" xfId="0" applyFont="1" applyBorder="1" applyAlignment="1">
      <alignment horizontal="center" textRotation="90" wrapText="1"/>
    </xf>
    <xf numFmtId="0" fontId="0" fillId="0" borderId="10" xfId="0" applyBorder="1" applyAlignment="1">
      <alignment horizontal="center" textRotation="90" wrapText="1"/>
    </xf>
    <xf numFmtId="4" fontId="0" fillId="0" borderId="10" xfId="0" applyNumberFormat="1" applyBorder="1" applyAlignment="1">
      <alignment horizontal="center" wrapText="1"/>
    </xf>
    <xf numFmtId="0" fontId="0" fillId="0" borderId="10" xfId="0" applyBorder="1" applyAlignment="1">
      <alignment horizontal="center" wrapText="1"/>
    </xf>
    <xf numFmtId="2" fontId="0" fillId="0" borderId="10" xfId="0" applyNumberFormat="1" applyBorder="1" applyAlignment="1">
      <alignment horizontal="center" wrapText="1"/>
    </xf>
    <xf numFmtId="2" fontId="0" fillId="0" borderId="10" xfId="0" applyNumberFormat="1" applyBorder="1" applyAlignment="1">
      <alignment horizontal="left"/>
    </xf>
    <xf numFmtId="2" fontId="0" fillId="0" borderId="0" xfId="0" applyNumberFormat="1" applyAlignment="1">
      <alignment/>
    </xf>
    <xf numFmtId="0" fontId="4" fillId="0" borderId="11" xfId="0" applyFont="1" applyBorder="1" applyAlignment="1">
      <alignment horizontal="right"/>
    </xf>
    <xf numFmtId="0" fontId="4" fillId="0" borderId="12" xfId="0" applyFont="1" applyBorder="1" applyAlignment="1">
      <alignment/>
    </xf>
    <xf numFmtId="0" fontId="5"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3" fillId="0" borderId="0" xfId="0" applyFont="1" applyAlignment="1">
      <alignment/>
    </xf>
    <xf numFmtId="0" fontId="2" fillId="0" borderId="0" xfId="0" applyFont="1" applyAlignment="1">
      <alignment vertical="center"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2" fontId="4" fillId="0" borderId="20" xfId="0" applyNumberFormat="1" applyFont="1" applyBorder="1" applyAlignment="1">
      <alignment/>
    </xf>
    <xf numFmtId="0" fontId="5" fillId="0" borderId="21" xfId="0" applyFont="1" applyBorder="1" applyAlignment="1">
      <alignment/>
    </xf>
    <xf numFmtId="0" fontId="4" fillId="0" borderId="22" xfId="0" applyFont="1" applyBorder="1" applyAlignment="1">
      <alignment/>
    </xf>
    <xf numFmtId="0" fontId="4" fillId="33" borderId="13" xfId="0" applyFont="1" applyFill="1" applyBorder="1" applyAlignment="1">
      <alignment/>
    </xf>
    <xf numFmtId="0" fontId="4" fillId="0" borderId="12" xfId="0" applyFont="1" applyBorder="1" applyAlignment="1">
      <alignment/>
    </xf>
    <xf numFmtId="0" fontId="4" fillId="0" borderId="0" xfId="0" applyFont="1" applyBorder="1" applyAlignment="1">
      <alignment horizontal="center"/>
    </xf>
    <xf numFmtId="0" fontId="5" fillId="0" borderId="0" xfId="0" applyFont="1" applyBorder="1" applyAlignment="1">
      <alignment/>
    </xf>
    <xf numFmtId="2" fontId="4" fillId="0" borderId="0" xfId="0" applyNumberFormat="1" applyFont="1" applyBorder="1" applyAlignment="1">
      <alignment horizontal="center"/>
    </xf>
    <xf numFmtId="0" fontId="4" fillId="0" borderId="0" xfId="0" applyFont="1" applyBorder="1" applyAlignment="1">
      <alignment/>
    </xf>
    <xf numFmtId="0" fontId="6" fillId="0" borderId="15" xfId="0" applyFont="1" applyBorder="1" applyAlignment="1">
      <alignment horizontal="left"/>
    </xf>
    <xf numFmtId="0" fontId="4" fillId="33" borderId="20" xfId="0" applyFont="1" applyFill="1" applyBorder="1" applyAlignment="1">
      <alignment/>
    </xf>
    <xf numFmtId="0" fontId="4" fillId="0" borderId="11" xfId="0" applyFont="1" applyBorder="1" applyAlignment="1">
      <alignment horizontal="left"/>
    </xf>
    <xf numFmtId="0" fontId="4" fillId="0" borderId="0" xfId="0" applyFont="1" applyAlignment="1">
      <alignment/>
    </xf>
    <xf numFmtId="0" fontId="7" fillId="0" borderId="12" xfId="0" applyFont="1" applyBorder="1" applyAlignment="1">
      <alignment/>
    </xf>
    <xf numFmtId="0" fontId="4" fillId="0" borderId="23" xfId="0" applyFont="1" applyBorder="1" applyAlignment="1">
      <alignment horizontal="left"/>
    </xf>
    <xf numFmtId="0" fontId="0" fillId="0" borderId="0" xfId="0" applyFont="1" applyAlignment="1">
      <alignment/>
    </xf>
    <xf numFmtId="0" fontId="0" fillId="0" borderId="24" xfId="0" applyBorder="1" applyAlignment="1">
      <alignment/>
    </xf>
    <xf numFmtId="0" fontId="0" fillId="0" borderId="25" xfId="0" applyFont="1" applyBorder="1" applyAlignment="1">
      <alignment horizontal="center" wrapText="1"/>
    </xf>
    <xf numFmtId="0" fontId="0" fillId="0" borderId="25" xfId="0" applyBorder="1" applyAlignment="1">
      <alignment horizontal="center"/>
    </xf>
    <xf numFmtId="0" fontId="0" fillId="0" borderId="26" xfId="0" applyBorder="1" applyAlignment="1">
      <alignment/>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3" fillId="0" borderId="0" xfId="0" applyFont="1" applyAlignment="1">
      <alignment horizontal="left"/>
    </xf>
    <xf numFmtId="0" fontId="0" fillId="0" borderId="0" xfId="53">
      <alignment/>
      <protection/>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15" xfId="0" applyBorder="1" applyAlignment="1">
      <alignment/>
    </xf>
    <xf numFmtId="0" fontId="4" fillId="0" borderId="34" xfId="0" applyFont="1" applyBorder="1" applyAlignment="1">
      <alignment/>
    </xf>
    <xf numFmtId="0" fontId="4" fillId="0" borderId="35" xfId="0" applyFont="1" applyBorder="1" applyAlignment="1">
      <alignment/>
    </xf>
    <xf numFmtId="0" fontId="5" fillId="0" borderId="36" xfId="0" applyFont="1" applyBorder="1" applyAlignment="1">
      <alignment/>
    </xf>
    <xf numFmtId="0" fontId="4" fillId="0" borderId="37" xfId="0" applyFont="1" applyBorder="1" applyAlignment="1">
      <alignment/>
    </xf>
    <xf numFmtId="0" fontId="4" fillId="0" borderId="38" xfId="0" applyFont="1" applyBorder="1" applyAlignment="1">
      <alignment/>
    </xf>
    <xf numFmtId="0" fontId="0" fillId="0" borderId="0" xfId="0" applyBorder="1" applyAlignment="1">
      <alignment horizontal="center"/>
    </xf>
    <xf numFmtId="0" fontId="0" fillId="0" borderId="37" xfId="0" applyBorder="1" applyAlignment="1">
      <alignment horizontal="center"/>
    </xf>
    <xf numFmtId="0" fontId="0" fillId="0" borderId="36" xfId="0" applyBorder="1" applyAlignment="1">
      <alignment/>
    </xf>
    <xf numFmtId="0" fontId="0" fillId="0" borderId="39" xfId="0" applyBorder="1" applyAlignment="1">
      <alignment/>
    </xf>
    <xf numFmtId="0" fontId="0" fillId="0" borderId="40" xfId="0" applyBorder="1" applyAlignment="1">
      <alignment horizontal="center"/>
    </xf>
    <xf numFmtId="0" fontId="0" fillId="0" borderId="0" xfId="0" applyFont="1" applyAlignment="1">
      <alignment/>
    </xf>
    <xf numFmtId="2" fontId="0" fillId="0" borderId="0" xfId="0" applyNumberFormat="1" applyFont="1" applyAlignment="1">
      <alignment/>
    </xf>
    <xf numFmtId="0" fontId="5" fillId="0" borderId="0" xfId="0" applyFont="1" applyAlignment="1">
      <alignment/>
    </xf>
    <xf numFmtId="0" fontId="4" fillId="0" borderId="23" xfId="0" applyFont="1" applyBorder="1" applyAlignment="1">
      <alignment horizontal="left" wrapText="1"/>
    </xf>
    <xf numFmtId="0" fontId="4" fillId="0" borderId="11" xfId="0" applyFont="1" applyBorder="1" applyAlignment="1">
      <alignment horizontal="left" vertical="center" wrapText="1"/>
    </xf>
    <xf numFmtId="0" fontId="46" fillId="0" borderId="0" xfId="48" applyAlignment="1">
      <alignment/>
    </xf>
    <xf numFmtId="0" fontId="4" fillId="0" borderId="19" xfId="0" applyFont="1" applyBorder="1" applyAlignment="1" applyProtection="1">
      <alignment/>
      <protection locked="0"/>
    </xf>
    <xf numFmtId="0" fontId="4" fillId="0" borderId="41" xfId="0" applyFont="1" applyBorder="1" applyAlignment="1" applyProtection="1">
      <alignment/>
      <protection locked="0"/>
    </xf>
    <xf numFmtId="0" fontId="4" fillId="0" borderId="42" xfId="0" applyFont="1" applyBorder="1" applyAlignment="1" applyProtection="1">
      <alignment/>
      <protection locked="0"/>
    </xf>
    <xf numFmtId="0" fontId="4" fillId="0" borderId="11" xfId="0" applyFont="1" applyBorder="1" applyAlignment="1">
      <alignment horizontal="left" wrapText="1"/>
    </xf>
    <xf numFmtId="0" fontId="6" fillId="0" borderId="12" xfId="0" applyFont="1" applyBorder="1" applyAlignment="1">
      <alignment/>
    </xf>
    <xf numFmtId="0" fontId="6" fillId="0" borderId="43" xfId="0" applyFont="1" applyBorder="1" applyAlignment="1">
      <alignment/>
    </xf>
    <xf numFmtId="0" fontId="6" fillId="0" borderId="44" xfId="0" applyFont="1" applyBorder="1" applyAlignment="1">
      <alignment/>
    </xf>
    <xf numFmtId="0" fontId="13" fillId="0" borderId="36" xfId="0" applyFont="1" applyBorder="1" applyAlignment="1">
      <alignment/>
    </xf>
    <xf numFmtId="0" fontId="13" fillId="0" borderId="37" xfId="0" applyFont="1" applyBorder="1" applyAlignment="1">
      <alignment/>
    </xf>
    <xf numFmtId="2" fontId="4" fillId="0" borderId="45" xfId="0" applyNumberFormat="1" applyFont="1" applyBorder="1" applyAlignment="1">
      <alignment/>
    </xf>
    <xf numFmtId="0" fontId="4" fillId="0" borderId="14" xfId="0" applyFont="1" applyFill="1" applyBorder="1" applyAlignment="1">
      <alignment/>
    </xf>
    <xf numFmtId="2" fontId="14" fillId="0" borderId="0" xfId="0" applyNumberFormat="1" applyFont="1" applyAlignment="1">
      <alignment horizontal="center"/>
    </xf>
    <xf numFmtId="2" fontId="14" fillId="0" borderId="0" xfId="0" applyNumberFormat="1" applyFont="1" applyAlignment="1">
      <alignment/>
    </xf>
    <xf numFmtId="0" fontId="4" fillId="34" borderId="26" xfId="0" applyFont="1" applyFill="1" applyBorder="1" applyAlignment="1" applyProtection="1">
      <alignment/>
      <protection locked="0"/>
    </xf>
    <xf numFmtId="1" fontId="4" fillId="34" borderId="46" xfId="0" applyNumberFormat="1" applyFont="1" applyFill="1" applyBorder="1" applyAlignment="1" applyProtection="1">
      <alignment/>
      <protection locked="0"/>
    </xf>
    <xf numFmtId="0" fontId="4" fillId="34" borderId="46" xfId="0" applyFont="1" applyFill="1" applyBorder="1" applyAlignment="1" applyProtection="1">
      <alignment horizontal="right"/>
      <protection locked="0"/>
    </xf>
    <xf numFmtId="0" fontId="4" fillId="34" borderId="22" xfId="0" applyFont="1" applyFill="1" applyBorder="1" applyAlignment="1" applyProtection="1">
      <alignment/>
      <protection locked="0"/>
    </xf>
    <xf numFmtId="0" fontId="4" fillId="34" borderId="46" xfId="0" applyFont="1" applyFill="1" applyBorder="1" applyAlignment="1" applyProtection="1">
      <alignment/>
      <protection locked="0"/>
    </xf>
    <xf numFmtId="0" fontId="4" fillId="34" borderId="45" xfId="0" applyFont="1" applyFill="1" applyBorder="1" applyAlignment="1" applyProtection="1">
      <alignment/>
      <protection locked="0"/>
    </xf>
    <xf numFmtId="0" fontId="4" fillId="34" borderId="47" xfId="0" applyFont="1" applyFill="1" applyBorder="1" applyAlignment="1" applyProtection="1">
      <alignment/>
      <protection locked="0"/>
    </xf>
    <xf numFmtId="0" fontId="4" fillId="34" borderId="48" xfId="0" applyFont="1" applyFill="1" applyBorder="1" applyAlignment="1" applyProtection="1">
      <alignment/>
      <protection locked="0"/>
    </xf>
    <xf numFmtId="0" fontId="13" fillId="0" borderId="16" xfId="0" applyFont="1" applyBorder="1" applyAlignment="1">
      <alignment/>
    </xf>
    <xf numFmtId="2" fontId="4" fillId="0" borderId="16" xfId="0" applyNumberFormat="1" applyFont="1" applyFill="1" applyBorder="1" applyAlignment="1">
      <alignment/>
    </xf>
    <xf numFmtId="0" fontId="56" fillId="0" borderId="16" xfId="0" applyFont="1" applyBorder="1" applyAlignment="1">
      <alignment horizontal="center" wrapText="1"/>
    </xf>
    <xf numFmtId="0" fontId="14" fillId="0" borderId="0" xfId="0" applyFont="1" applyFill="1" applyAlignment="1">
      <alignment/>
    </xf>
    <xf numFmtId="0" fontId="14" fillId="0" borderId="0" xfId="0" applyFont="1" applyAlignment="1">
      <alignment/>
    </xf>
    <xf numFmtId="0" fontId="57" fillId="0" borderId="0" xfId="0" applyFont="1" applyAlignment="1">
      <alignment/>
    </xf>
    <xf numFmtId="0" fontId="0" fillId="13" borderId="0" xfId="0" applyFill="1" applyAlignment="1">
      <alignment/>
    </xf>
    <xf numFmtId="4" fontId="0" fillId="13" borderId="0" xfId="0" applyNumberFormat="1" applyFill="1" applyAlignment="1">
      <alignment/>
    </xf>
    <xf numFmtId="0" fontId="0" fillId="35" borderId="0" xfId="0" applyFill="1" applyAlignment="1">
      <alignment/>
    </xf>
    <xf numFmtId="4" fontId="0" fillId="35" borderId="0" xfId="0" applyNumberFormat="1" applyFill="1" applyAlignment="1">
      <alignment/>
    </xf>
    <xf numFmtId="0" fontId="10" fillId="0" borderId="36" xfId="0" applyFont="1" applyBorder="1" applyAlignment="1">
      <alignment horizontal="left" vertical="top"/>
    </xf>
    <xf numFmtId="0" fontId="11" fillId="0" borderId="37" xfId="0" applyFont="1" applyBorder="1" applyAlignment="1">
      <alignment horizontal="left" vertical="top"/>
    </xf>
    <xf numFmtId="0" fontId="11" fillId="0" borderId="38" xfId="0" applyFont="1" applyBorder="1" applyAlignment="1">
      <alignment horizontal="left" vertical="top"/>
    </xf>
    <xf numFmtId="2" fontId="4" fillId="0" borderId="12" xfId="0" applyNumberFormat="1" applyFont="1" applyBorder="1" applyAlignment="1">
      <alignment horizontal="center"/>
    </xf>
    <xf numFmtId="2" fontId="4" fillId="0" borderId="44" xfId="0" applyNumberFormat="1" applyFont="1" applyBorder="1" applyAlignment="1">
      <alignment horizontal="center"/>
    </xf>
    <xf numFmtId="0" fontId="4" fillId="33" borderId="39" xfId="0" applyFont="1" applyFill="1" applyBorder="1" applyAlignment="1" applyProtection="1">
      <alignment horizontal="center"/>
      <protection locked="0"/>
    </xf>
    <xf numFmtId="0" fontId="4" fillId="33" borderId="17" xfId="0" applyFont="1" applyFill="1" applyBorder="1" applyAlignment="1" applyProtection="1">
      <alignment horizontal="center"/>
      <protection locked="0"/>
    </xf>
    <xf numFmtId="4" fontId="4" fillId="0" borderId="12" xfId="0" applyNumberFormat="1" applyFont="1" applyBorder="1" applyAlignment="1">
      <alignment horizontal="center"/>
    </xf>
    <xf numFmtId="0" fontId="0" fillId="0" borderId="44" xfId="0" applyBorder="1" applyAlignment="1">
      <alignment/>
    </xf>
    <xf numFmtId="0" fontId="4" fillId="33" borderId="49" xfId="0" applyFont="1" applyFill="1" applyBorder="1" applyAlignment="1" applyProtection="1">
      <alignment horizontal="center"/>
      <protection locked="0"/>
    </xf>
    <xf numFmtId="0" fontId="4" fillId="33" borderId="50" xfId="0" applyFont="1" applyFill="1" applyBorder="1" applyAlignment="1" applyProtection="1">
      <alignment horizontal="center"/>
      <protection locked="0"/>
    </xf>
    <xf numFmtId="0" fontId="4" fillId="33" borderId="19" xfId="0" applyFont="1" applyFill="1" applyBorder="1" applyAlignment="1">
      <alignment horizontal="center"/>
    </xf>
    <xf numFmtId="0" fontId="4" fillId="33" borderId="42" xfId="0" applyFont="1" applyFill="1" applyBorder="1" applyAlignment="1">
      <alignment horizontal="center"/>
    </xf>
    <xf numFmtId="0" fontId="4" fillId="33" borderId="37" xfId="0" applyFont="1" applyFill="1" applyBorder="1" applyAlignment="1" applyProtection="1">
      <alignment horizontal="center"/>
      <protection locked="0"/>
    </xf>
    <xf numFmtId="0" fontId="4" fillId="33" borderId="38" xfId="0" applyFont="1" applyFill="1" applyBorder="1" applyAlignment="1" applyProtection="1">
      <alignment horizontal="center"/>
      <protection locked="0"/>
    </xf>
    <xf numFmtId="0" fontId="4" fillId="33" borderId="10" xfId="0" applyFont="1" applyFill="1" applyBorder="1" applyAlignment="1" applyProtection="1">
      <alignment horizontal="center"/>
      <protection locked="0"/>
    </xf>
    <xf numFmtId="0" fontId="4" fillId="33" borderId="51" xfId="0" applyFont="1" applyFill="1" applyBorder="1" applyAlignment="1" applyProtection="1">
      <alignment horizontal="center"/>
      <protection locked="0"/>
    </xf>
    <xf numFmtId="2" fontId="4" fillId="0" borderId="35" xfId="0" applyNumberFormat="1" applyFont="1" applyBorder="1" applyAlignment="1">
      <alignment horizontal="center"/>
    </xf>
    <xf numFmtId="2" fontId="4" fillId="0" borderId="52" xfId="0" applyNumberFormat="1" applyFont="1" applyBorder="1" applyAlignment="1">
      <alignment horizontal="center"/>
    </xf>
    <xf numFmtId="2" fontId="12" fillId="0" borderId="34" xfId="0" applyNumberFormat="1" applyFont="1" applyBorder="1" applyAlignment="1">
      <alignment horizontal="center"/>
    </xf>
    <xf numFmtId="2" fontId="12" fillId="0" borderId="53" xfId="0" applyNumberFormat="1" applyFont="1" applyBorder="1" applyAlignment="1">
      <alignment horizontal="center"/>
    </xf>
    <xf numFmtId="0" fontId="4" fillId="33" borderId="34" xfId="0" applyFont="1" applyFill="1" applyBorder="1" applyAlignment="1" applyProtection="1">
      <alignment horizontal="center"/>
      <protection locked="0"/>
    </xf>
    <xf numFmtId="0" fontId="4" fillId="33" borderId="53" xfId="0" applyFont="1" applyFill="1" applyBorder="1" applyAlignment="1" applyProtection="1">
      <alignment horizontal="center"/>
      <protection locked="0"/>
    </xf>
    <xf numFmtId="0" fontId="4" fillId="0" borderId="54" xfId="0" applyFont="1" applyFill="1" applyBorder="1" applyAlignment="1">
      <alignment horizontal="center"/>
    </xf>
    <xf numFmtId="0" fontId="4" fillId="0" borderId="45" xfId="0" applyFont="1" applyFill="1" applyBorder="1" applyAlignment="1">
      <alignment horizontal="center"/>
    </xf>
    <xf numFmtId="0" fontId="4" fillId="0" borderId="22" xfId="0" applyFont="1" applyBorder="1" applyAlignment="1">
      <alignment horizontal="center"/>
    </xf>
    <xf numFmtId="0" fontId="4" fillId="0" borderId="45" xfId="0" applyFont="1" applyBorder="1" applyAlignment="1">
      <alignment horizontal="center"/>
    </xf>
    <xf numFmtId="0" fontId="4" fillId="0" borderId="0" xfId="0" applyFont="1" applyBorder="1" applyAlignment="1">
      <alignment horizontal="center"/>
    </xf>
    <xf numFmtId="0" fontId="4" fillId="0" borderId="10" xfId="0" applyFont="1" applyFill="1" applyBorder="1" applyAlignment="1" applyProtection="1">
      <alignment horizontal="center"/>
      <protection locked="0"/>
    </xf>
    <xf numFmtId="0" fontId="4" fillId="0" borderId="51" xfId="0" applyFont="1" applyFill="1" applyBorder="1" applyAlignment="1" applyProtection="1">
      <alignment horizontal="center"/>
      <protection locked="0"/>
    </xf>
    <xf numFmtId="0" fontId="4" fillId="33" borderId="55" xfId="0" applyFont="1" applyFill="1" applyBorder="1" applyAlignment="1" applyProtection="1">
      <alignment horizontal="center"/>
      <protection locked="0"/>
    </xf>
    <xf numFmtId="0" fontId="4" fillId="33" borderId="56" xfId="0" applyFont="1" applyFill="1" applyBorder="1" applyAlignment="1" applyProtection="1">
      <alignment horizontal="center"/>
      <protection locked="0"/>
    </xf>
    <xf numFmtId="0" fontId="4" fillId="33" borderId="57" xfId="0" applyFont="1" applyFill="1" applyBorder="1" applyAlignment="1" applyProtection="1">
      <alignment horizontal="center"/>
      <protection locked="0"/>
    </xf>
    <xf numFmtId="0" fontId="4" fillId="33" borderId="12" xfId="0" applyFont="1" applyFill="1" applyBorder="1" applyAlignment="1" applyProtection="1">
      <alignment horizontal="center"/>
      <protection locked="0"/>
    </xf>
    <xf numFmtId="0" fontId="4" fillId="33" borderId="44" xfId="0" applyFont="1" applyFill="1" applyBorder="1" applyAlignment="1" applyProtection="1">
      <alignment horizontal="center"/>
      <protection locked="0"/>
    </xf>
    <xf numFmtId="0" fontId="4" fillId="33" borderId="58" xfId="0" applyFont="1" applyFill="1" applyBorder="1" applyAlignment="1" applyProtection="1">
      <alignment horizontal="center"/>
      <protection locked="0"/>
    </xf>
    <xf numFmtId="0" fontId="4" fillId="33" borderId="59" xfId="0" applyFont="1" applyFill="1" applyBorder="1" applyAlignment="1" applyProtection="1">
      <alignment horizontal="center"/>
      <protection locked="0"/>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 2 2" xfId="54"/>
    <cellStyle name="Standard 2 3"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dxfs count="2">
    <dxf>
      <fill>
        <patternFill>
          <bgColor theme="5" tint="0.5999600291252136"/>
        </patternFill>
      </fill>
    </dxf>
    <dxf>
      <fill>
        <patternFill>
          <bgColor theme="5"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1"/>
  <dimension ref="A1:A7"/>
  <sheetViews>
    <sheetView zoomScalePageLayoutView="0" workbookViewId="0" topLeftCell="A1">
      <selection activeCell="D109" sqref="D109"/>
    </sheetView>
  </sheetViews>
  <sheetFormatPr defaultColWidth="11.421875" defaultRowHeight="12.75"/>
  <cols>
    <col min="1" max="16384" width="11.421875" style="56" customWidth="1"/>
  </cols>
  <sheetData>
    <row r="1" ht="12.75">
      <c r="A1" s="56" t="s">
        <v>98</v>
      </c>
    </row>
    <row r="2" ht="12.75">
      <c r="A2" s="56" t="s">
        <v>97</v>
      </c>
    </row>
    <row r="3" ht="12.75">
      <c r="A3" s="56" t="s">
        <v>96</v>
      </c>
    </row>
    <row r="4" ht="12.75">
      <c r="A4" s="56" t="s">
        <v>95</v>
      </c>
    </row>
    <row r="5" ht="12.75">
      <c r="A5" s="56" t="s">
        <v>94</v>
      </c>
    </row>
    <row r="6" ht="12.75">
      <c r="A6" t="s">
        <v>99</v>
      </c>
    </row>
    <row r="7" ht="12.75">
      <c r="A7" t="s">
        <v>100</v>
      </c>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Tabelle2"/>
  <dimension ref="B2:E64"/>
  <sheetViews>
    <sheetView zoomScalePageLayoutView="0" workbookViewId="0" topLeftCell="A1">
      <selection activeCell="C19" sqref="C19"/>
    </sheetView>
  </sheetViews>
  <sheetFormatPr defaultColWidth="11.421875" defaultRowHeight="12.75"/>
  <cols>
    <col min="2" max="2" width="37.00390625" style="0" customWidth="1"/>
  </cols>
  <sheetData>
    <row r="2" spans="2:5" ht="12.75">
      <c r="B2" t="s">
        <v>1</v>
      </c>
      <c r="C2">
        <f>Eingabeblatt!B13</f>
        <v>0</v>
      </c>
      <c r="D2" t="s">
        <v>89</v>
      </c>
      <c r="E2" t="s">
        <v>79</v>
      </c>
    </row>
    <row r="3" spans="2:5" ht="12.75">
      <c r="B3" t="s">
        <v>104</v>
      </c>
      <c r="C3" s="4">
        <f>Eingabeblatt!B3</f>
        <v>0</v>
      </c>
      <c r="D3">
        <v>0.125</v>
      </c>
      <c r="E3">
        <f>$C$2*D3</f>
        <v>0</v>
      </c>
    </row>
    <row r="4" spans="2:5" ht="12.75">
      <c r="B4" t="s">
        <v>58</v>
      </c>
      <c r="C4" s="4">
        <f>Eingabeblatt!B4</f>
        <v>0</v>
      </c>
      <c r="D4">
        <v>0.25</v>
      </c>
      <c r="E4">
        <f>$C$2*D4</f>
        <v>0</v>
      </c>
    </row>
    <row r="5" spans="2:5" ht="12.75">
      <c r="B5" t="s">
        <v>59</v>
      </c>
      <c r="C5" s="4">
        <f>Eingabeblatt!B5</f>
        <v>0</v>
      </c>
      <c r="D5">
        <v>0.8</v>
      </c>
      <c r="E5">
        <f aca="true" t="shared" si="0" ref="E5:E11">$C$2*D5</f>
        <v>0</v>
      </c>
    </row>
    <row r="6" spans="2:5" ht="12.75">
      <c r="B6" t="s">
        <v>122</v>
      </c>
      <c r="C6" s="4">
        <f>Eingabeblatt!B6</f>
        <v>0</v>
      </c>
      <c r="D6">
        <v>0.25</v>
      </c>
      <c r="E6">
        <f t="shared" si="0"/>
        <v>0</v>
      </c>
    </row>
    <row r="7" spans="2:5" ht="12.75">
      <c r="B7" t="s">
        <v>121</v>
      </c>
      <c r="C7" s="4">
        <f>Eingabeblatt!B7</f>
        <v>0</v>
      </c>
      <c r="D7">
        <v>0.125</v>
      </c>
      <c r="E7">
        <f t="shared" si="0"/>
        <v>0</v>
      </c>
    </row>
    <row r="8" spans="2:5" ht="12.75">
      <c r="B8" t="s">
        <v>120</v>
      </c>
      <c r="C8" s="4">
        <f>Eingabeblatt!B8</f>
        <v>0</v>
      </c>
      <c r="D8">
        <v>0.7</v>
      </c>
      <c r="E8">
        <f t="shared" si="0"/>
        <v>0</v>
      </c>
    </row>
    <row r="9" spans="2:5" ht="12.75">
      <c r="B9" t="s">
        <v>78</v>
      </c>
      <c r="C9" s="4">
        <f>Eingabeblatt!B9</f>
        <v>0</v>
      </c>
      <c r="D9">
        <v>0.3</v>
      </c>
      <c r="E9">
        <f t="shared" si="0"/>
        <v>0</v>
      </c>
    </row>
    <row r="10" spans="2:5" ht="12.75">
      <c r="B10" t="s">
        <v>101</v>
      </c>
      <c r="C10" s="4">
        <f>Eingabeblatt!B10</f>
        <v>0</v>
      </c>
      <c r="D10">
        <v>0.25</v>
      </c>
      <c r="E10">
        <f>$C$2*D10</f>
        <v>0</v>
      </c>
    </row>
    <row r="11" spans="2:5" ht="12.75">
      <c r="B11" t="s">
        <v>105</v>
      </c>
      <c r="C11" s="4">
        <f>Eingabeblatt!B11</f>
        <v>0</v>
      </c>
      <c r="D11">
        <v>0.125</v>
      </c>
      <c r="E11">
        <f t="shared" si="0"/>
        <v>0</v>
      </c>
    </row>
    <row r="12" spans="2:3" ht="12.75">
      <c r="B12" t="s">
        <v>79</v>
      </c>
      <c r="C12" t="b">
        <f>IF(OR(C4="j",C6="j",C10="j"),(C2*0.25),IF(C5="j",(C2*0.8),IF(OR(C3="j",C7="j",C11="j"),(C2*0.125),IF(C8="j",(C2*0.7),IF((C9="j"),(C2*0.3))))))</f>
        <v>0</v>
      </c>
    </row>
    <row r="13" spans="2:4" ht="12.75">
      <c r="B13" t="s">
        <v>50</v>
      </c>
      <c r="C13">
        <f>C2-C12</f>
        <v>0</v>
      </c>
      <c r="D13" s="26">
        <f>IF(C13&lt;=0.1*C20,0.1*C20,C2-50.28)</f>
        <v>50.28</v>
      </c>
    </row>
    <row r="14" spans="2:3" ht="12.75" customHeight="1">
      <c r="B14" s="27" t="s">
        <v>106</v>
      </c>
      <c r="C14">
        <f>IF(C2-C12&gt;=0.1*C20,C12,C2-50.28)</f>
        <v>-50.28</v>
      </c>
    </row>
    <row r="15" ht="12.75">
      <c r="B15" s="27"/>
    </row>
    <row r="17" ht="12.75">
      <c r="B17" s="104" t="s">
        <v>126</v>
      </c>
    </row>
    <row r="18" spans="2:3" ht="12.75">
      <c r="B18" s="107" t="s">
        <v>51</v>
      </c>
      <c r="C18" s="108">
        <v>175</v>
      </c>
    </row>
    <row r="19" spans="2:3" ht="12.75">
      <c r="B19" s="107" t="s">
        <v>52</v>
      </c>
      <c r="C19" s="108">
        <v>322.7</v>
      </c>
    </row>
    <row r="20" spans="2:3" ht="12.75">
      <c r="B20" s="105" t="s">
        <v>53</v>
      </c>
      <c r="C20" s="106">
        <v>502.8</v>
      </c>
    </row>
    <row r="21" spans="2:3" ht="12.75">
      <c r="B21" s="107" t="s">
        <v>54</v>
      </c>
      <c r="C21" s="108">
        <v>754</v>
      </c>
    </row>
    <row r="22" spans="2:3" ht="12.75">
      <c r="B22" s="107" t="s">
        <v>55</v>
      </c>
      <c r="C22" s="108">
        <v>1024.2</v>
      </c>
    </row>
    <row r="23" spans="2:3" ht="12.75">
      <c r="B23" s="107" t="s">
        <v>56</v>
      </c>
      <c r="C23" s="108">
        <v>1430.2</v>
      </c>
    </row>
    <row r="24" spans="2:3" ht="12.75">
      <c r="B24" s="107" t="s">
        <v>57</v>
      </c>
      <c r="C24" s="108">
        <v>1879.5</v>
      </c>
    </row>
    <row r="28" ht="12.75">
      <c r="B28" s="102" t="s">
        <v>125</v>
      </c>
    </row>
    <row r="29" spans="2:3" ht="12.75">
      <c r="B29" t="s">
        <v>51</v>
      </c>
      <c r="C29" s="1">
        <v>165.4</v>
      </c>
    </row>
    <row r="30" spans="2:3" ht="12.75">
      <c r="B30" t="s">
        <v>52</v>
      </c>
      <c r="C30" s="1">
        <v>305</v>
      </c>
    </row>
    <row r="31" spans="2:3" ht="12.75">
      <c r="B31" s="105" t="s">
        <v>53</v>
      </c>
      <c r="C31" s="106">
        <v>475.2</v>
      </c>
    </row>
    <row r="32" spans="2:3" ht="12.75">
      <c r="B32" t="s">
        <v>54</v>
      </c>
      <c r="C32" s="1">
        <v>712.7</v>
      </c>
    </row>
    <row r="33" spans="2:3" ht="12.75">
      <c r="B33" t="s">
        <v>55</v>
      </c>
      <c r="C33" s="1">
        <v>968.1</v>
      </c>
    </row>
    <row r="34" spans="2:3" ht="12.75">
      <c r="B34" t="s">
        <v>56</v>
      </c>
      <c r="C34" s="1">
        <v>1351.8</v>
      </c>
    </row>
    <row r="35" spans="2:3" ht="12.75">
      <c r="B35" t="s">
        <v>57</v>
      </c>
      <c r="C35" s="1">
        <v>1776.5</v>
      </c>
    </row>
    <row r="37" spans="2:3" ht="12.75">
      <c r="B37" s="102" t="s">
        <v>127</v>
      </c>
      <c r="C37" s="72"/>
    </row>
    <row r="38" spans="2:3" ht="12.75">
      <c r="B38" t="s">
        <v>51</v>
      </c>
      <c r="C38" s="73">
        <v>157.3</v>
      </c>
    </row>
    <row r="39" spans="2:3" ht="12.75">
      <c r="B39" t="s">
        <v>52</v>
      </c>
      <c r="C39" s="73">
        <v>290</v>
      </c>
    </row>
    <row r="40" spans="2:3" ht="12.75">
      <c r="B40" t="s">
        <v>53</v>
      </c>
      <c r="C40" s="73">
        <v>451.8</v>
      </c>
    </row>
    <row r="41" spans="2:3" ht="12.75">
      <c r="B41" t="s">
        <v>54</v>
      </c>
      <c r="C41" s="73">
        <v>677.6</v>
      </c>
    </row>
    <row r="42" spans="2:3" ht="12.75">
      <c r="B42" t="s">
        <v>55</v>
      </c>
      <c r="C42" s="73">
        <v>920.3</v>
      </c>
    </row>
    <row r="43" spans="2:3" ht="12.75">
      <c r="B43" t="s">
        <v>56</v>
      </c>
      <c r="C43" s="73">
        <v>1285.2</v>
      </c>
    </row>
    <row r="44" spans="2:3" ht="12.75">
      <c r="B44" t="s">
        <v>57</v>
      </c>
      <c r="C44" s="73">
        <v>1688.9</v>
      </c>
    </row>
    <row r="45" ht="12.75">
      <c r="C45" s="72"/>
    </row>
    <row r="46" ht="12.75">
      <c r="C46" s="72"/>
    </row>
    <row r="47" ht="12.75">
      <c r="B47" s="103" t="s">
        <v>123</v>
      </c>
    </row>
    <row r="48" spans="2:3" ht="12.75">
      <c r="B48" t="s">
        <v>51</v>
      </c>
      <c r="C48" s="1">
        <v>162.5</v>
      </c>
    </row>
    <row r="49" spans="2:3" ht="12.75">
      <c r="B49" t="s">
        <v>52</v>
      </c>
      <c r="C49" s="1">
        <v>299.6</v>
      </c>
    </row>
    <row r="50" spans="2:3" ht="12.75">
      <c r="B50" t="s">
        <v>53</v>
      </c>
      <c r="C50" s="1">
        <v>466.8</v>
      </c>
    </row>
    <row r="51" spans="2:3" ht="12.75">
      <c r="B51" t="s">
        <v>54</v>
      </c>
      <c r="C51" s="1">
        <v>700.1</v>
      </c>
    </row>
    <row r="52" spans="2:3" ht="12.75">
      <c r="B52" t="s">
        <v>55</v>
      </c>
      <c r="C52" s="1">
        <v>951</v>
      </c>
    </row>
    <row r="53" spans="2:3" ht="12.75">
      <c r="B53" t="s">
        <v>56</v>
      </c>
      <c r="C53" s="1">
        <v>1327.9</v>
      </c>
    </row>
    <row r="54" spans="2:3" ht="12.75">
      <c r="B54" t="s">
        <v>57</v>
      </c>
      <c r="C54" s="1">
        <v>1745.1</v>
      </c>
    </row>
    <row r="57" ht="12.75">
      <c r="B57" s="103" t="s">
        <v>124</v>
      </c>
    </row>
    <row r="58" spans="2:3" ht="12.75">
      <c r="B58" t="s">
        <v>51</v>
      </c>
      <c r="C58" s="1">
        <v>160.1</v>
      </c>
    </row>
    <row r="59" spans="2:3" ht="12.75">
      <c r="B59" t="s">
        <v>52</v>
      </c>
      <c r="C59" s="1">
        <v>295.2</v>
      </c>
    </row>
    <row r="60" spans="2:3" ht="12.75">
      <c r="B60" t="s">
        <v>53</v>
      </c>
      <c r="C60" s="1">
        <v>459.9</v>
      </c>
    </row>
    <row r="61" spans="2:3" ht="12.75">
      <c r="B61" t="s">
        <v>54</v>
      </c>
      <c r="C61" s="1">
        <v>689.8</v>
      </c>
    </row>
    <row r="62" spans="2:3" ht="12.75">
      <c r="B62" t="s">
        <v>55</v>
      </c>
      <c r="C62" s="1">
        <v>936.9</v>
      </c>
    </row>
    <row r="63" spans="2:3" ht="12.75">
      <c r="B63" t="s">
        <v>56</v>
      </c>
      <c r="C63" s="1">
        <v>1308.3</v>
      </c>
    </row>
    <row r="64" spans="2:3" ht="12.75">
      <c r="B64" t="s">
        <v>57</v>
      </c>
      <c r="C64" s="1">
        <v>1719.3</v>
      </c>
    </row>
  </sheetData>
  <sheetProtection password="EA84" sheet="1"/>
  <printOptions/>
  <pageMargins left="0.787401575" right="0.787401575" top="0.984251969" bottom="0.984251969" header="0.4921259845" footer="0.492125984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Tabelle3">
    <pageSetUpPr fitToPage="1"/>
  </sheetPr>
  <dimension ref="A2:E29"/>
  <sheetViews>
    <sheetView view="pageLayout" workbookViewId="0" topLeftCell="A1">
      <selection activeCell="D109" sqref="D109"/>
    </sheetView>
  </sheetViews>
  <sheetFormatPr defaultColWidth="11.421875" defaultRowHeight="12.75"/>
  <cols>
    <col min="1" max="1" width="22.7109375" style="0" customWidth="1"/>
    <col min="2" max="2" width="36.421875" style="0" bestFit="1" customWidth="1"/>
    <col min="3" max="3" width="24.7109375" style="0" customWidth="1"/>
    <col min="5" max="5" width="30.00390625" style="0" customWidth="1"/>
    <col min="6" max="6" width="56.28125" style="0" customWidth="1"/>
  </cols>
  <sheetData>
    <row r="2" spans="2:3" ht="12.75">
      <c r="B2" t="s">
        <v>3</v>
      </c>
      <c r="C2">
        <f>Eingabeblatt!B17</f>
        <v>0</v>
      </c>
    </row>
    <row r="3" spans="2:3" ht="12.75">
      <c r="B3" t="s">
        <v>18</v>
      </c>
      <c r="C3">
        <f>Eingabeblatt!B16</f>
        <v>0</v>
      </c>
    </row>
    <row r="4" ht="13.5" thickBot="1"/>
    <row r="5" spans="2:5" ht="30.75" customHeight="1" thickBot="1">
      <c r="B5" s="48"/>
      <c r="C5" s="49" t="s">
        <v>92</v>
      </c>
      <c r="D5" s="50" t="s">
        <v>89</v>
      </c>
      <c r="E5" s="57" t="s">
        <v>91</v>
      </c>
    </row>
    <row r="6" spans="2:5" ht="12.75">
      <c r="B6" s="69" t="s">
        <v>104</v>
      </c>
      <c r="C6" s="52">
        <f>IF(Eingabeblatt!B3&lt;&gt;"J","",Eingabeblatt!B3)</f>
      </c>
      <c r="D6" s="68">
        <v>0.15</v>
      </c>
      <c r="E6" s="58">
        <f aca="true" t="shared" si="0" ref="E6:E11">$C$3*D6</f>
        <v>0</v>
      </c>
    </row>
    <row r="7" spans="2:5" ht="12.75">
      <c r="B7" s="61" t="s">
        <v>58</v>
      </c>
      <c r="C7" s="53">
        <f>IF(Eingabeblatt!B4&lt;&gt;"J","",Eingabeblatt!B4)</f>
      </c>
      <c r="D7" s="67">
        <v>0.3</v>
      </c>
      <c r="E7" s="59">
        <f t="shared" si="0"/>
        <v>0</v>
      </c>
    </row>
    <row r="8" spans="2:5" ht="12.75">
      <c r="B8" s="61" t="s">
        <v>59</v>
      </c>
      <c r="C8" s="53">
        <f>IF(Eingabeblatt!B5&lt;&gt;"J","",Eingabeblatt!B5)</f>
      </c>
      <c r="D8" s="67">
        <v>0.8</v>
      </c>
      <c r="E8" s="59">
        <f t="shared" si="0"/>
        <v>0</v>
      </c>
    </row>
    <row r="9" spans="2:5" ht="12.75">
      <c r="B9" s="61" t="s">
        <v>61</v>
      </c>
      <c r="C9" s="53">
        <f>IF(Eingabeblatt!B6&lt;&gt;"J","",Eingabeblatt!B6)</f>
      </c>
      <c r="D9" s="67">
        <v>0.3</v>
      </c>
      <c r="E9" s="59">
        <f>$C$3*D9</f>
        <v>0</v>
      </c>
    </row>
    <row r="10" spans="2:5" ht="12.75">
      <c r="B10" s="61" t="s">
        <v>87</v>
      </c>
      <c r="C10" s="53">
        <f>IF(Eingabeblatt!B7&lt;&gt;"J","",Eingabeblatt!B7)</f>
      </c>
      <c r="D10" s="67">
        <v>0.15</v>
      </c>
      <c r="E10" s="59">
        <f t="shared" si="0"/>
        <v>0</v>
      </c>
    </row>
    <row r="11" spans="2:5" ht="13.5" thickBot="1">
      <c r="B11" s="70" t="s">
        <v>77</v>
      </c>
      <c r="C11" s="54">
        <f>IF(Eingabeblatt!B8&lt;&gt;"J","",Eingabeblatt!B8)</f>
      </c>
      <c r="D11" s="71">
        <v>0.8</v>
      </c>
      <c r="E11" s="60">
        <f t="shared" si="0"/>
        <v>0</v>
      </c>
    </row>
    <row r="12" spans="2:5" ht="12.75">
      <c r="B12" s="51" t="s">
        <v>78</v>
      </c>
      <c r="C12" s="52">
        <f>IF(Eingabeblatt!B9&lt;&gt;"J","",Eingabeblatt!B9)</f>
      </c>
      <c r="D12" s="52">
        <v>0.4</v>
      </c>
      <c r="E12" s="58">
        <f>IF($C$3&lt;VLOOKUP($C$2,$A$23:$C$28,3),0,($C$3-VLOOKUP($C$2,$A$23:$C$28,3))*D12)</f>
        <v>0</v>
      </c>
    </row>
    <row r="13" spans="2:5" ht="12.75">
      <c r="B13" s="61" t="s">
        <v>101</v>
      </c>
      <c r="C13" s="53">
        <f>IF(Eingabeblatt!B10&lt;&gt;"J","",Eingabeblatt!B10)</f>
      </c>
      <c r="D13" s="53">
        <v>0.4</v>
      </c>
      <c r="E13" s="59">
        <f>IF($C$3&lt;VLOOKUP($C$2,$A$23:$C$28,3),0,($C$3-VLOOKUP($C$2,$A$23:$C$28,3))*D13)</f>
        <v>0</v>
      </c>
    </row>
    <row r="14" spans="2:5" ht="13.5" thickBot="1">
      <c r="B14" s="70" t="s">
        <v>105</v>
      </c>
      <c r="C14" s="54">
        <f>IF(Eingabeblatt!B11&lt;&gt;"J","",Eingabeblatt!B11)</f>
      </c>
      <c r="D14" s="54">
        <v>0.2</v>
      </c>
      <c r="E14" s="60">
        <f>IF($C$3&lt;VLOOKUP($C$2,$A$23:$C$28,3),0,($C$3-VLOOKUP($C$2,$A$23:$C$28,3))*D14)</f>
        <v>0</v>
      </c>
    </row>
    <row r="15" ht="12.75">
      <c r="D15" t="e">
        <f>IF(C16&gt;30,30,IF(C16&lt;0,0,C16))</f>
        <v>#N/A</v>
      </c>
    </row>
    <row r="16" spans="2:5" ht="12.75">
      <c r="B16" t="s">
        <v>90</v>
      </c>
      <c r="C16" s="47" t="e">
        <f>IF(COUNTIF(C6:C14,"j")&gt;1,"Anzahl Struktur !",VLOOKUP("j",C6:E14,3,))</f>
        <v>#N/A</v>
      </c>
      <c r="D16" t="e">
        <f>IF(C16&gt;60,60,IF(C16&lt;0,0,C16))</f>
        <v>#N/A</v>
      </c>
      <c r="E16" t="e">
        <f>IF(C16&gt;170,170,IF(C16&lt;0,0,C16))</f>
        <v>#N/A</v>
      </c>
    </row>
    <row r="17" spans="2:3" ht="12.75">
      <c r="B17" s="47" t="s">
        <v>93</v>
      </c>
      <c r="C17" s="55" t="str">
        <f>IF(COUNTIF(C6:C14,"j")&gt;1,"Achtung: Es darf in der Eingabetabelle nur eine Struktur gewählt werden !","Anzahl der in der Eingabetabelle gewählten Strukturen korrekt.")</f>
        <v>Anzahl der in der Eingabetabelle gewählten Strukturen korrekt.</v>
      </c>
    </row>
    <row r="18" ht="12.75">
      <c r="C18" s="1"/>
    </row>
    <row r="22" ht="12.75">
      <c r="A22" s="4" t="s">
        <v>76</v>
      </c>
    </row>
    <row r="23" spans="1:4" ht="12.75">
      <c r="A23" s="4">
        <v>0</v>
      </c>
      <c r="B23" t="s">
        <v>19</v>
      </c>
      <c r="C23">
        <v>1053.64</v>
      </c>
      <c r="D23">
        <f>C23*0.2</f>
        <v>210.72800000000004</v>
      </c>
    </row>
    <row r="24" spans="1:3" ht="12.75">
      <c r="A24" s="4">
        <v>1</v>
      </c>
      <c r="B24" t="s">
        <v>20</v>
      </c>
      <c r="C24">
        <f>C23+D23</f>
        <v>1264.3680000000002</v>
      </c>
    </row>
    <row r="25" spans="1:3" ht="12.75">
      <c r="A25" s="4">
        <v>2</v>
      </c>
      <c r="B25" t="s">
        <v>21</v>
      </c>
      <c r="C25" s="1">
        <f>C23+2*D23</f>
        <v>1475.0960000000002</v>
      </c>
    </row>
    <row r="26" spans="1:3" ht="12.75">
      <c r="A26" s="4">
        <v>3</v>
      </c>
      <c r="B26" t="s">
        <v>22</v>
      </c>
      <c r="C26" s="1">
        <f>C23+3*D23</f>
        <v>1685.824</v>
      </c>
    </row>
    <row r="27" spans="1:3" ht="12.75">
      <c r="A27" s="4">
        <v>4</v>
      </c>
      <c r="B27" t="s">
        <v>23</v>
      </c>
      <c r="C27" s="1">
        <f>C23+4*D23</f>
        <v>1896.5520000000001</v>
      </c>
    </row>
    <row r="28" spans="1:3" ht="12.75">
      <c r="A28" s="4">
        <v>5</v>
      </c>
      <c r="B28" t="s">
        <v>24</v>
      </c>
      <c r="C28" s="1">
        <f>C23+5*D23</f>
        <v>2107.28</v>
      </c>
    </row>
    <row r="29" ht="12.75">
      <c r="B29" s="1"/>
    </row>
  </sheetData>
  <sheetProtection password="EA84" sheet="1"/>
  <printOptions/>
  <pageMargins left="0.25" right="0.25" top="0.75" bottom="0.75" header="0.3" footer="0.3"/>
  <pageSetup fitToHeight="0" fitToWidth="1" horizontalDpi="600" verticalDpi="600" orientation="landscape" paperSize="9" r:id="rId1"/>
  <headerFooter alignWithMargins="0">
    <oddHeader>&amp;CEINKOMMEN SOZE1040</oddHeader>
  </headerFooter>
</worksheet>
</file>

<file path=xl/worksheets/sheet4.xml><?xml version="1.0" encoding="utf-8"?>
<worksheet xmlns="http://schemas.openxmlformats.org/spreadsheetml/2006/main" xmlns:r="http://schemas.openxmlformats.org/officeDocument/2006/relationships">
  <sheetPr codeName="Tabelle4"/>
  <dimension ref="A1:I114"/>
  <sheetViews>
    <sheetView zoomScale="85" zoomScaleNormal="85" zoomScalePageLayoutView="220" workbookViewId="0" topLeftCell="A1">
      <selection activeCell="D109" sqref="D109"/>
    </sheetView>
  </sheetViews>
  <sheetFormatPr defaultColWidth="11.421875" defaultRowHeight="12.75"/>
  <cols>
    <col min="1" max="1" width="24.00390625" style="0" bestFit="1" customWidth="1"/>
    <col min="2" max="2" width="63.7109375" style="0" bestFit="1" customWidth="1"/>
    <col min="5" max="5" width="20.140625" style="0" customWidth="1"/>
    <col min="6" max="6" width="34.140625" style="0" customWidth="1"/>
  </cols>
  <sheetData>
    <row r="1" spans="2:8" ht="12.75">
      <c r="B1" t="s">
        <v>14</v>
      </c>
      <c r="C1">
        <f>Eingabeblatt!B23</f>
        <v>0</v>
      </c>
      <c r="H1">
        <f>Eingabeblatt!C23</f>
        <v>0</v>
      </c>
    </row>
    <row r="2" spans="2:9" ht="12.75">
      <c r="B2" t="s">
        <v>5</v>
      </c>
      <c r="C2">
        <f>Eingabeblatt!B24</f>
        <v>0</v>
      </c>
      <c r="D2">
        <f>IF(C2&lt;6,C43,IF(AND(C2&gt;=6,C2&lt;10),C44,IF(AND(C2&gt;=10,C2&lt;15),C45,IF(C2&gt;=15,C46))))</f>
        <v>0.16</v>
      </c>
      <c r="H2">
        <f>Eingabeblatt!C24</f>
        <v>0</v>
      </c>
      <c r="I2">
        <f>IF(H2&lt;6,C43,IF(AND(H2&gt;=6,H2&lt;10),C44,IF(AND(H2&gt;=10,H2&lt;15),C45,IF(H2&gt;=15,C46))))</f>
        <v>0.16</v>
      </c>
    </row>
    <row r="3" spans="2:8" ht="12.75">
      <c r="B3" t="s">
        <v>25</v>
      </c>
      <c r="C3">
        <f>Eingabeblatt!B25</f>
        <v>0</v>
      </c>
      <c r="H3">
        <f>Eingabeblatt!C25</f>
        <v>0</v>
      </c>
    </row>
    <row r="4" spans="2:9" ht="12.75">
      <c r="B4" t="s">
        <v>6</v>
      </c>
      <c r="C4">
        <f>Eingabeblatt!B26</f>
        <v>0</v>
      </c>
      <c r="D4">
        <f>IF(C3="n",0,IF(C4&lt;=(1/9*C1),C48,IF(AND(C4&gt;(1/9*C1),C4&lt;=(2/9*C1)),C49,IF(AND(C4&gt;(2/9*C1),C4&lt;=(3/9*C1)),C50,IF(C4&gt;(3/9*C1),C51)))))</f>
        <v>0.03</v>
      </c>
      <c r="H4">
        <f>Eingabeblatt!C26</f>
        <v>0</v>
      </c>
      <c r="I4">
        <f>IF(H3="n",0,IF(H4&lt;=(1/9*H1),C48,IF(AND(H4&gt;(1/9*H1),H4&lt;=(2/9*H1)),C49,IF(AND(H4&gt;(2/9*H1),H4&lt;=(3/9*H1)),C50,IF(H4&gt;(3/9*H1),C51)))))</f>
        <v>0.03</v>
      </c>
    </row>
    <row r="5" spans="2:9" ht="12.75">
      <c r="B5" t="s">
        <v>8</v>
      </c>
      <c r="C5">
        <f>Eingabeblatt!B27</f>
        <v>0</v>
      </c>
      <c r="D5">
        <f>C5*C52</f>
        <v>0</v>
      </c>
      <c r="H5">
        <f>Eingabeblatt!C27</f>
        <v>0</v>
      </c>
      <c r="I5">
        <f>H5*C52</f>
        <v>0</v>
      </c>
    </row>
    <row r="6" spans="2:9" ht="12.75">
      <c r="B6" t="s">
        <v>9</v>
      </c>
      <c r="C6">
        <f>Eingabeblatt!B28</f>
        <v>0</v>
      </c>
      <c r="D6">
        <f>C6*C53</f>
        <v>0</v>
      </c>
      <c r="H6">
        <f>Eingabeblatt!C28</f>
        <v>0</v>
      </c>
      <c r="I6">
        <f>H6*C53</f>
        <v>0</v>
      </c>
    </row>
    <row r="7" spans="2:9" ht="12.75">
      <c r="B7" t="s">
        <v>26</v>
      </c>
      <c r="C7">
        <f>IF(AND(C2&lt;3,C1*D7&gt;C56),C56,IF(AND(C2&gt;=3,C2&lt;6,C1*D7&gt;C57),C57,IF(AND(C2&gt;=6,C2&lt;10,C1*D7&gt;C58),C58,IF(AND(C2&gt;=10,C2&lt;15,C1*D7&gt;C59),C59,IF(AND(C2&gt;=15,C2&lt;19,C1*D7&gt;C60),C60,IF(AND(C2&gt;19,C1*D7&gt;C61),C61,C1*D7))))))</f>
        <v>0</v>
      </c>
      <c r="D7">
        <f>D2-D4-D5-D6</f>
        <v>0.13</v>
      </c>
      <c r="H7">
        <f>IF(AND(H2&lt;3,H1*I7&gt;C56),C56,IF(AND(H2&gt;=3,H2&lt;6,H1*I7&gt;C57),C57,IF(AND(H2&gt;=6,H2&lt;10,H1*I7&gt;C58),C58,IF(AND(H2&gt;=10,H2&lt;15,H1*I7&gt;C59),C59,IF(AND(H2&gt;=15,H2&lt;19,H1*I7&gt;C60),C60,IF(AND(H2&gt;19,H1*I7&gt;C61),C61,H1*I7))))))</f>
        <v>0</v>
      </c>
      <c r="I7">
        <f>I2-I4-I5-I6</f>
        <v>0.13</v>
      </c>
    </row>
    <row r="12" spans="2:8" ht="12.75">
      <c r="B12" t="s">
        <v>79</v>
      </c>
      <c r="C12" s="19" t="b">
        <f>IF(OR(G44="j",G48="j",G52="j"),(C7/6),IF(OR(G45="j",G47="j",G50="j",G51="j"),(C7/3),IF(OR(G46="j",G49="j"),(C7*2/3))))</f>
        <v>0</v>
      </c>
      <c r="H12" s="19" t="b">
        <f>IF(OR(G44="j",G48="j",G52="j"),(H7/6),IF(OR(G45="j",G47="j",G50="j",G51="j"),(H7/3),IF(OR(G46="j",G49="j"),(H7*2/3))))</f>
        <v>0</v>
      </c>
    </row>
    <row r="14" spans="2:8" ht="12.75">
      <c r="B14" t="s">
        <v>80</v>
      </c>
      <c r="C14" s="3">
        <f>C1-C12</f>
        <v>0</v>
      </c>
      <c r="D14" s="4"/>
      <c r="E14" s="4"/>
      <c r="F14" s="4"/>
      <c r="G14" s="4"/>
      <c r="H14" s="5">
        <f>H1-H12</f>
        <v>0</v>
      </c>
    </row>
    <row r="15" spans="2:8" ht="38.25">
      <c r="B15" s="6" t="s">
        <v>63</v>
      </c>
      <c r="C15" s="7">
        <f>IF(AND(C3="j",C4=0),1+1+C5+C6,1+C5+C6)</f>
        <v>1</v>
      </c>
      <c r="D15" s="4"/>
      <c r="E15" s="4"/>
      <c r="F15" s="4"/>
      <c r="G15" s="4"/>
      <c r="H15" s="8">
        <f>IF(AND(H3="j",H4=0),1+1+H5+H6,1+H5+H6)</f>
        <v>1</v>
      </c>
    </row>
    <row r="16" spans="2:8" ht="25.5">
      <c r="B16" s="6" t="s">
        <v>64</v>
      </c>
      <c r="C16" s="3">
        <f>VLOOKUP(C15,A110:C114,3)</f>
        <v>948.2760000000001</v>
      </c>
      <c r="D16" s="4"/>
      <c r="E16" s="4"/>
      <c r="F16" s="4"/>
      <c r="G16" s="4"/>
      <c r="H16" s="5">
        <f>VLOOKUP(H15,A110:C114,3)</f>
        <v>948.2760000000001</v>
      </c>
    </row>
    <row r="17" spans="3:8" ht="12.75">
      <c r="C17" s="1"/>
      <c r="D17" s="4"/>
      <c r="E17" s="4"/>
      <c r="F17" s="4"/>
      <c r="G17" s="4"/>
      <c r="H17" s="9"/>
    </row>
    <row r="18" spans="2:8" ht="12.75">
      <c r="B18" t="s">
        <v>13</v>
      </c>
      <c r="C18" s="10">
        <f>IF(C14&lt;=C16,(C1-C16),C12)</f>
        <v>-948.2760000000001</v>
      </c>
      <c r="D18" s="89">
        <f>IF((ROUND(C18,0)+C16)&gt;C1,ROUNDDOWN(C18,0),ROUND(C18,0))</f>
        <v>-948</v>
      </c>
      <c r="E18" s="11"/>
      <c r="F18" s="4"/>
      <c r="G18" s="89">
        <f>IF((ROUND(H18,0)+H16)&gt;H1,ROUNDDOWN(H18,0),ROUND(H18,0))</f>
        <v>-948</v>
      </c>
      <c r="H18" s="10">
        <f>IF(H14&lt;=H16,(H1-H16),H12)</f>
        <v>-948.2760000000001</v>
      </c>
    </row>
    <row r="19" spans="2:3" ht="12.75">
      <c r="B19" t="s">
        <v>27</v>
      </c>
      <c r="C19">
        <f>C7-C12</f>
        <v>0</v>
      </c>
    </row>
    <row r="20" spans="2:8" ht="12.75">
      <c r="B20" t="s">
        <v>110</v>
      </c>
      <c r="C20" s="11">
        <f>IF(C18&gt;60,60,IF(C18&lt;0,0,C18))</f>
        <v>0</v>
      </c>
      <c r="D20" s="11">
        <f>IF(C18&gt;30,30,IF(C18&lt;0,0,C18))</f>
        <v>0</v>
      </c>
      <c r="G20" s="11">
        <f>IF(H18&gt;30,30,IF(H18&lt;0,0,H18))</f>
        <v>0</v>
      </c>
      <c r="H20" s="11">
        <f>IF(H18&gt;60,60,IF(H18&lt;0,0,H18))</f>
        <v>0</v>
      </c>
    </row>
    <row r="21" spans="2:8" ht="12.75">
      <c r="B21" t="s">
        <v>111</v>
      </c>
      <c r="C21" s="11">
        <f>IF(C18&gt;170,170,IF(C18&lt;0,0,C18))</f>
        <v>0</v>
      </c>
      <c r="H21" s="11">
        <f>IF(H18&gt;170,170,IF(H18&lt;0,0,H18))</f>
        <v>0</v>
      </c>
    </row>
    <row r="24" spans="2:9" ht="145.5">
      <c r="B24" s="12" t="s">
        <v>65</v>
      </c>
      <c r="C24" s="13" t="s">
        <v>62</v>
      </c>
      <c r="D24" s="13" t="s">
        <v>66</v>
      </c>
      <c r="E24" s="13" t="s">
        <v>67</v>
      </c>
      <c r="F24" s="13" t="s">
        <v>25</v>
      </c>
      <c r="G24" s="13" t="s">
        <v>68</v>
      </c>
      <c r="H24" s="14" t="s">
        <v>69</v>
      </c>
      <c r="I24" s="14" t="s">
        <v>70</v>
      </c>
    </row>
    <row r="25" spans="2:9" ht="12.75">
      <c r="B25" s="18" t="b">
        <f>IF(AND(C1-C12&lt;=C110,C5+C6=0,C3="n",C4=0),(C1-C110),C12)</f>
        <v>0</v>
      </c>
      <c r="C25" s="15">
        <f>$C$1-$C$12</f>
        <v>0</v>
      </c>
      <c r="D25" s="15">
        <f>C110</f>
        <v>948.2760000000001</v>
      </c>
      <c r="E25" s="16">
        <v>0</v>
      </c>
      <c r="F25" s="16" t="s">
        <v>17</v>
      </c>
      <c r="G25" s="16">
        <v>0</v>
      </c>
      <c r="H25" s="17" t="e">
        <f>IF(C25&lt;=D25,($C$1-D25)/$C$8,$C$12/$C$8)</f>
        <v>#DIV/0!</v>
      </c>
      <c r="I25" s="16">
        <v>1</v>
      </c>
    </row>
    <row r="26" spans="2:9" ht="12.75">
      <c r="B26" s="18" t="b">
        <f>IF(AND(C1-C12&lt;=C111,C5+C6=1,C3="n",C4=0),(C1-C111),C12)</f>
        <v>0</v>
      </c>
      <c r="C26" s="15">
        <f aca="true" t="shared" si="0" ref="C26:C38">$C$1-$C$12</f>
        <v>0</v>
      </c>
      <c r="D26" s="15">
        <f>C111</f>
        <v>1106.3220000000001</v>
      </c>
      <c r="E26" s="16">
        <v>1</v>
      </c>
      <c r="F26" s="16" t="s">
        <v>17</v>
      </c>
      <c r="G26" s="16">
        <v>0</v>
      </c>
      <c r="H26" s="17" t="e">
        <f aca="true" t="shared" si="1" ref="H26:H38">IF(C26&lt;=D26,($C$1-D26)/$C$8,$C$12/$C$8)</f>
        <v>#DIV/0!</v>
      </c>
      <c r="I26" s="16">
        <v>2</v>
      </c>
    </row>
    <row r="27" spans="2:9" ht="12.75">
      <c r="B27" s="18" t="b">
        <f>IF(AND(C1-C12&lt;=C112,C5+C6=2,C3="n",C4=0),(C1-C112),C12)</f>
        <v>0</v>
      </c>
      <c r="C27" s="15">
        <f t="shared" si="0"/>
        <v>0</v>
      </c>
      <c r="D27" s="15">
        <f>C112</f>
        <v>1264.3680000000002</v>
      </c>
      <c r="E27" s="16">
        <v>2</v>
      </c>
      <c r="F27" s="16" t="s">
        <v>17</v>
      </c>
      <c r="G27" s="16">
        <v>0</v>
      </c>
      <c r="H27" s="17" t="e">
        <f t="shared" si="1"/>
        <v>#DIV/0!</v>
      </c>
      <c r="I27" s="16">
        <v>3</v>
      </c>
    </row>
    <row r="28" spans="2:9" ht="12.75">
      <c r="B28" s="18" t="b">
        <f>IF(AND(C1-C12&lt;=C113,C5+C6=3,C3="n",C4=0),(C1-C113),C12)</f>
        <v>0</v>
      </c>
      <c r="C28" s="15">
        <f t="shared" si="0"/>
        <v>0</v>
      </c>
      <c r="D28" s="15">
        <f>C113</f>
        <v>1422.4140000000002</v>
      </c>
      <c r="E28" s="16">
        <v>3</v>
      </c>
      <c r="F28" s="16" t="s">
        <v>17</v>
      </c>
      <c r="G28" s="16">
        <v>0</v>
      </c>
      <c r="H28" s="17" t="e">
        <f t="shared" si="1"/>
        <v>#DIV/0!</v>
      </c>
      <c r="I28" s="16">
        <v>4</v>
      </c>
    </row>
    <row r="29" spans="2:9" ht="12.75">
      <c r="B29" s="18" t="b">
        <f>IF(AND(C1-C12&lt;=C114,C5+C6&gt;=4),(C1-C114),C12)</f>
        <v>0</v>
      </c>
      <c r="C29" s="15">
        <f t="shared" si="0"/>
        <v>0</v>
      </c>
      <c r="D29" s="15">
        <f>C114</f>
        <v>1580.4600000000003</v>
      </c>
      <c r="E29" s="16" t="s">
        <v>71</v>
      </c>
      <c r="F29" s="16"/>
      <c r="G29" s="16"/>
      <c r="H29" s="17" t="e">
        <f t="shared" si="1"/>
        <v>#DIV/0!</v>
      </c>
      <c r="I29" s="16">
        <v>5</v>
      </c>
    </row>
    <row r="30" spans="2:9" ht="12.75">
      <c r="B30" s="18" t="b">
        <f>IF(AND(C1-C12&lt;=C110,C5+C6=0,C3="j",C4&gt;0),(C1-C110),C12)</f>
        <v>0</v>
      </c>
      <c r="C30" s="15">
        <f t="shared" si="0"/>
        <v>0</v>
      </c>
      <c r="D30" s="15">
        <f>C110</f>
        <v>948.2760000000001</v>
      </c>
      <c r="E30" s="16">
        <v>0</v>
      </c>
      <c r="F30" s="16" t="s">
        <v>60</v>
      </c>
      <c r="G30" s="16" t="s">
        <v>72</v>
      </c>
      <c r="H30" s="17" t="e">
        <f t="shared" si="1"/>
        <v>#DIV/0!</v>
      </c>
      <c r="I30" s="16">
        <v>1</v>
      </c>
    </row>
    <row r="31" spans="2:9" ht="12.75">
      <c r="B31" s="18" t="b">
        <f>IF(AND(C1-C12&lt;=C111,C5+C6=1,C3="j",C4&gt;0),(C1-C111),C12)</f>
        <v>0</v>
      </c>
      <c r="C31" s="15">
        <f t="shared" si="0"/>
        <v>0</v>
      </c>
      <c r="D31" s="15">
        <f>C111</f>
        <v>1106.3220000000001</v>
      </c>
      <c r="E31" s="16">
        <v>1</v>
      </c>
      <c r="F31" s="16" t="s">
        <v>60</v>
      </c>
      <c r="G31" s="16" t="s">
        <v>72</v>
      </c>
      <c r="H31" s="17" t="e">
        <f t="shared" si="1"/>
        <v>#DIV/0!</v>
      </c>
      <c r="I31" s="16">
        <v>2</v>
      </c>
    </row>
    <row r="32" spans="2:9" ht="12.75">
      <c r="B32" s="18" t="b">
        <f>IF(AND(C1-C12&lt;=C112,C5+C6=2,C3="j",C4&gt;0),(C1-C112),C12)</f>
        <v>0</v>
      </c>
      <c r="C32" s="15">
        <f t="shared" si="0"/>
        <v>0</v>
      </c>
      <c r="D32" s="15">
        <f>C112</f>
        <v>1264.3680000000002</v>
      </c>
      <c r="E32" s="16">
        <v>2</v>
      </c>
      <c r="F32" s="16" t="s">
        <v>60</v>
      </c>
      <c r="G32" s="16" t="s">
        <v>72</v>
      </c>
      <c r="H32" s="17" t="e">
        <f>IF(C32&lt;=D32,($C$1-D32)/$C$8,$C$12/$C$8)</f>
        <v>#DIV/0!</v>
      </c>
      <c r="I32" s="16">
        <v>3</v>
      </c>
    </row>
    <row r="33" spans="2:9" ht="12.75">
      <c r="B33" s="18" t="b">
        <f>IF(AND(C1-C12&lt;=C113,C5+C6=3,C3="j",C4&gt;0),(C1-C113),C12)</f>
        <v>0</v>
      </c>
      <c r="C33" s="15">
        <f t="shared" si="0"/>
        <v>0</v>
      </c>
      <c r="D33" s="15">
        <f>C113</f>
        <v>1422.4140000000002</v>
      </c>
      <c r="E33" s="16">
        <v>3</v>
      </c>
      <c r="F33" s="16" t="s">
        <v>60</v>
      </c>
      <c r="G33" s="16" t="s">
        <v>72</v>
      </c>
      <c r="H33" s="17" t="e">
        <f t="shared" si="1"/>
        <v>#DIV/0!</v>
      </c>
      <c r="I33" s="16">
        <v>4</v>
      </c>
    </row>
    <row r="34" spans="2:9" ht="12.75">
      <c r="B34" s="18" t="b">
        <f>IF(AND(C1-C12&lt;=C114,C5+C6=3,C3="j",C4&gt;0),(C1-C114),C12)</f>
        <v>0</v>
      </c>
      <c r="C34" s="15">
        <f t="shared" si="0"/>
        <v>0</v>
      </c>
      <c r="D34" s="15">
        <f>C114</f>
        <v>1580.4600000000003</v>
      </c>
      <c r="E34" s="16">
        <v>4</v>
      </c>
      <c r="F34" s="16" t="s">
        <v>60</v>
      </c>
      <c r="G34" s="16" t="s">
        <v>72</v>
      </c>
      <c r="H34" s="17" t="e">
        <f>IF(C34&lt;=D34,($C$1-D34)/$C$8,$C$12/$C$8)</f>
        <v>#DIV/0!</v>
      </c>
      <c r="I34" s="16">
        <v>5</v>
      </c>
    </row>
    <row r="35" spans="2:9" ht="12.75">
      <c r="B35" s="18" t="b">
        <f>IF(AND(C1-C12&lt;=C111,C5+C6=0,C3="j",C4=0),(C1-C111),C12)</f>
        <v>0</v>
      </c>
      <c r="C35" s="15">
        <f t="shared" si="0"/>
        <v>0</v>
      </c>
      <c r="D35" s="15">
        <f>C111</f>
        <v>1106.3220000000001</v>
      </c>
      <c r="E35" s="16">
        <v>0</v>
      </c>
      <c r="F35" s="16" t="s">
        <v>60</v>
      </c>
      <c r="G35" s="16">
        <v>0</v>
      </c>
      <c r="H35" s="17" t="e">
        <f t="shared" si="1"/>
        <v>#DIV/0!</v>
      </c>
      <c r="I35" s="16">
        <v>2</v>
      </c>
    </row>
    <row r="36" spans="2:9" ht="12.75">
      <c r="B36" s="18" t="b">
        <f>IF(AND(C1-C12&lt;=C112,C5+C6=1,C3="j",C4=0),(C1-C112),C12)</f>
        <v>0</v>
      </c>
      <c r="C36" s="15">
        <f t="shared" si="0"/>
        <v>0</v>
      </c>
      <c r="D36" s="15">
        <f>C112</f>
        <v>1264.3680000000002</v>
      </c>
      <c r="E36" s="16">
        <v>1</v>
      </c>
      <c r="F36" s="16" t="s">
        <v>60</v>
      </c>
      <c r="G36" s="16">
        <v>0</v>
      </c>
      <c r="H36" s="17" t="e">
        <f t="shared" si="1"/>
        <v>#DIV/0!</v>
      </c>
      <c r="I36" s="16">
        <v>3</v>
      </c>
    </row>
    <row r="37" spans="2:9" ht="12.75">
      <c r="B37" s="18" t="b">
        <f>IF(AND(C1-C12&lt;=C113,C5+C6=2,C3="j",C4=0),(C1-C113),C12)</f>
        <v>0</v>
      </c>
      <c r="C37" s="15">
        <f t="shared" si="0"/>
        <v>0</v>
      </c>
      <c r="D37" s="15">
        <f>C113</f>
        <v>1422.4140000000002</v>
      </c>
      <c r="E37" s="16">
        <v>2</v>
      </c>
      <c r="F37" s="16" t="s">
        <v>60</v>
      </c>
      <c r="G37" s="16">
        <v>0</v>
      </c>
      <c r="H37" s="17" t="e">
        <f t="shared" si="1"/>
        <v>#DIV/0!</v>
      </c>
      <c r="I37" s="16">
        <v>4</v>
      </c>
    </row>
    <row r="38" spans="2:9" ht="12.75">
      <c r="B38" s="18" t="b">
        <f>IF(AND(C1-C12&lt;=C114,C5+C6=3,C3="j",C4=0),(C1-C114),C12)</f>
        <v>0</v>
      </c>
      <c r="C38" s="15">
        <f t="shared" si="0"/>
        <v>0</v>
      </c>
      <c r="D38" s="15">
        <f>C114</f>
        <v>1580.4600000000003</v>
      </c>
      <c r="E38" s="16">
        <v>3</v>
      </c>
      <c r="F38" s="16" t="s">
        <v>60</v>
      </c>
      <c r="G38" s="16">
        <v>0</v>
      </c>
      <c r="H38" s="17" t="e">
        <f t="shared" si="1"/>
        <v>#DIV/0!</v>
      </c>
      <c r="I38" s="16">
        <v>5</v>
      </c>
    </row>
    <row r="43" spans="2:3" ht="12.75">
      <c r="B43" t="s">
        <v>28</v>
      </c>
      <c r="C43" s="2">
        <v>0.16</v>
      </c>
    </row>
    <row r="44" spans="2:7" ht="12.75">
      <c r="B44" t="s">
        <v>29</v>
      </c>
      <c r="C44" s="2">
        <v>0.18</v>
      </c>
      <c r="F44" t="s">
        <v>104</v>
      </c>
      <c r="G44">
        <f>Eingabeblatt!B3</f>
        <v>0</v>
      </c>
    </row>
    <row r="45" spans="2:7" ht="12.75">
      <c r="B45" t="s">
        <v>30</v>
      </c>
      <c r="C45" s="2">
        <v>0.2</v>
      </c>
      <c r="F45" t="s">
        <v>58</v>
      </c>
      <c r="G45">
        <f>Eingabeblatt!B4</f>
        <v>0</v>
      </c>
    </row>
    <row r="46" spans="2:7" ht="12.75">
      <c r="B46" t="s">
        <v>31</v>
      </c>
      <c r="C46" s="2">
        <v>0.22</v>
      </c>
      <c r="F46" t="s">
        <v>59</v>
      </c>
      <c r="G46">
        <f>Eingabeblatt!B5</f>
        <v>0</v>
      </c>
    </row>
    <row r="47" spans="6:7" ht="12.75">
      <c r="F47" t="s">
        <v>61</v>
      </c>
      <c r="G47">
        <f>Eingabeblatt!B6</f>
        <v>0</v>
      </c>
    </row>
    <row r="48" spans="2:7" ht="12.75">
      <c r="B48" t="s">
        <v>32</v>
      </c>
      <c r="C48" s="2">
        <v>0.03</v>
      </c>
      <c r="F48" t="s">
        <v>87</v>
      </c>
      <c r="G48">
        <f>Eingabeblatt!B7</f>
        <v>0</v>
      </c>
    </row>
    <row r="49" spans="2:7" ht="12.75">
      <c r="B49" t="s">
        <v>33</v>
      </c>
      <c r="C49" s="2">
        <v>0.02</v>
      </c>
      <c r="F49" t="s">
        <v>77</v>
      </c>
      <c r="G49">
        <f>Eingabeblatt!B8</f>
        <v>0</v>
      </c>
    </row>
    <row r="50" spans="2:7" ht="12.75">
      <c r="B50" t="s">
        <v>34</v>
      </c>
      <c r="C50" s="2">
        <v>0.01</v>
      </c>
      <c r="F50" t="s">
        <v>78</v>
      </c>
      <c r="G50">
        <f>Eingabeblatt!B9</f>
        <v>0</v>
      </c>
    </row>
    <row r="51" spans="2:7" ht="12.75">
      <c r="B51" t="s">
        <v>35</v>
      </c>
      <c r="C51" s="2">
        <v>0</v>
      </c>
      <c r="F51" t="s">
        <v>101</v>
      </c>
      <c r="G51">
        <f>Eingabeblatt!B10</f>
        <v>0</v>
      </c>
    </row>
    <row r="52" spans="2:7" ht="12.75">
      <c r="B52" t="s">
        <v>36</v>
      </c>
      <c r="C52" s="2">
        <v>0.01</v>
      </c>
      <c r="F52" t="s">
        <v>105</v>
      </c>
      <c r="G52">
        <f>Eingabeblatt!B11</f>
        <v>0</v>
      </c>
    </row>
    <row r="53" spans="2:3" ht="12.75">
      <c r="B53" t="s">
        <v>37</v>
      </c>
      <c r="C53" s="2">
        <v>0.02</v>
      </c>
    </row>
    <row r="55" ht="12.75">
      <c r="B55" t="s">
        <v>38</v>
      </c>
    </row>
    <row r="56" spans="2:3" ht="12.75">
      <c r="B56" t="s">
        <v>39</v>
      </c>
      <c r="C56">
        <v>520</v>
      </c>
    </row>
    <row r="57" spans="2:3" ht="12.75">
      <c r="B57" t="s">
        <v>40</v>
      </c>
      <c r="C57">
        <v>667.5</v>
      </c>
    </row>
    <row r="58" spans="2:3" ht="12.75">
      <c r="B58" t="s">
        <v>41</v>
      </c>
      <c r="C58">
        <v>860</v>
      </c>
    </row>
    <row r="59" spans="2:3" ht="12.75">
      <c r="B59" t="s">
        <v>42</v>
      </c>
      <c r="C59">
        <v>980</v>
      </c>
    </row>
    <row r="60" spans="2:3" ht="12.75">
      <c r="B60" t="s">
        <v>43</v>
      </c>
      <c r="C60" s="1">
        <v>1157.5</v>
      </c>
    </row>
    <row r="61" spans="2:3" ht="12.75">
      <c r="B61" t="s">
        <v>44</v>
      </c>
      <c r="C61" s="1">
        <v>1450</v>
      </c>
    </row>
    <row r="62" ht="12.75">
      <c r="C62" s="1"/>
    </row>
    <row r="63" ht="12.75">
      <c r="C63" s="1"/>
    </row>
    <row r="66" ht="12.75">
      <c r="B66" t="s">
        <v>45</v>
      </c>
    </row>
    <row r="67" spans="2:3" ht="12.75">
      <c r="B67" t="s">
        <v>14</v>
      </c>
      <c r="C67">
        <f>Eingabeblatt!B31</f>
        <v>0</v>
      </c>
    </row>
    <row r="68" spans="2:3" ht="12.75">
      <c r="B68" t="s">
        <v>46</v>
      </c>
      <c r="C68">
        <f>Eingabeblatt!B32</f>
        <v>0</v>
      </c>
    </row>
    <row r="69" spans="2:3" ht="12.75">
      <c r="B69" t="s">
        <v>7</v>
      </c>
      <c r="C69">
        <f>Eingabeblatt!B33</f>
        <v>0</v>
      </c>
    </row>
    <row r="70" spans="2:3" ht="12.75">
      <c r="B70" t="s">
        <v>47</v>
      </c>
      <c r="C70" s="1">
        <f>IF(AND(C68&gt;0,C68&lt;=C67),((C67+C68)*(0.4-C69*0.04)-C68),C67*(C74-C69*0.04))</f>
        <v>0</v>
      </c>
    </row>
    <row r="73" spans="2:3" ht="12.75">
      <c r="B73" t="s">
        <v>48</v>
      </c>
      <c r="C73" s="2">
        <v>0.04</v>
      </c>
    </row>
    <row r="74" spans="2:3" ht="12.75">
      <c r="B74" t="s">
        <v>49</v>
      </c>
      <c r="C74" s="2">
        <v>0.33</v>
      </c>
    </row>
    <row r="76" spans="2:3" ht="12.75">
      <c r="B76" t="s">
        <v>79</v>
      </c>
      <c r="C76" t="b">
        <f>IF(OR(G44="j",G52="j"),(C70/6),IF(G45="j",(C70/3),IF(G46="j",(C70*2/3),IF(G47="j",0,IF(G48="j",0,IF(G49="j",0,IF(OR(G50="j",G51="j",G53="j"),(C70/3))))))))</f>
        <v>0</v>
      </c>
    </row>
    <row r="78" spans="2:3" ht="12.75">
      <c r="B78" t="s">
        <v>82</v>
      </c>
      <c r="C78" s="3">
        <f>C67-C76</f>
        <v>0</v>
      </c>
    </row>
    <row r="79" spans="2:3" ht="38.25">
      <c r="B79" s="6" t="s">
        <v>73</v>
      </c>
      <c r="C79" s="7">
        <f>IF(C68=0,1+C69,C69)</f>
        <v>1</v>
      </c>
    </row>
    <row r="80" spans="2:3" ht="25.5">
      <c r="B80" s="6" t="s">
        <v>64</v>
      </c>
      <c r="C80" s="3">
        <f>VLOOKUP(C79,A109:C114,3)</f>
        <v>948.2760000000001</v>
      </c>
    </row>
    <row r="81" ht="12.75">
      <c r="C81" s="1"/>
    </row>
    <row r="82" spans="2:4" ht="12.75">
      <c r="B82" t="s">
        <v>13</v>
      </c>
      <c r="C82" s="19">
        <f>IF(C78&lt;=C80,(C67-C80),C76)</f>
        <v>-948.2760000000001</v>
      </c>
      <c r="D82" s="90">
        <f>IF((ROUND(C82,0)+C80)&gt;C67,ROUNDDOWN(C82,0),ROUND(C82,0))</f>
        <v>-948</v>
      </c>
    </row>
    <row r="83" spans="2:3" ht="12.75">
      <c r="B83" t="s">
        <v>27</v>
      </c>
      <c r="C83" s="1">
        <f>C70-C76</f>
        <v>0</v>
      </c>
    </row>
    <row r="86" spans="2:7" ht="145.5">
      <c r="B86" s="12" t="s">
        <v>65</v>
      </c>
      <c r="C86" s="13" t="s">
        <v>62</v>
      </c>
      <c r="D86" s="13" t="s">
        <v>66</v>
      </c>
      <c r="E86" s="13" t="s">
        <v>7</v>
      </c>
      <c r="F86" s="13" t="s">
        <v>15</v>
      </c>
      <c r="G86" s="14" t="s">
        <v>74</v>
      </c>
    </row>
    <row r="87" spans="2:7" ht="12.75">
      <c r="B87" s="18">
        <f>IF(AND(C67-C76&lt;=C110,C69=0,C68=0),(C67-C110),C76)</f>
        <v>-948.2760000000001</v>
      </c>
      <c r="C87" s="15">
        <f aca="true" t="shared" si="2" ref="C87:C98">$C$67-$C$76</f>
        <v>0</v>
      </c>
      <c r="D87" s="15">
        <f>C110</f>
        <v>948.2760000000001</v>
      </c>
      <c r="E87" s="16">
        <v>0</v>
      </c>
      <c r="F87" s="16">
        <v>0</v>
      </c>
      <c r="G87" s="16">
        <v>1</v>
      </c>
    </row>
    <row r="88" spans="2:7" ht="12.75">
      <c r="B88" s="18" t="b">
        <f>IF(AND(C67-C76&lt;=C111,C69=1,C68=0),(C67-C111),C76)</f>
        <v>0</v>
      </c>
      <c r="C88" s="15">
        <f t="shared" si="2"/>
        <v>0</v>
      </c>
      <c r="D88" s="15">
        <f>C111</f>
        <v>1106.3220000000001</v>
      </c>
      <c r="E88" s="16">
        <v>1</v>
      </c>
      <c r="F88" s="16">
        <v>0</v>
      </c>
      <c r="G88" s="16">
        <v>2</v>
      </c>
    </row>
    <row r="89" spans="2:7" ht="12.75">
      <c r="B89" s="18" t="b">
        <f>IF(AND(C67-C76&lt;=C112,C69=2,C68=0),(C67-C112),C76)</f>
        <v>0</v>
      </c>
      <c r="C89" s="15">
        <f t="shared" si="2"/>
        <v>0</v>
      </c>
      <c r="D89" s="15">
        <f>C112</f>
        <v>1264.3680000000002</v>
      </c>
      <c r="E89" s="16">
        <v>2</v>
      </c>
      <c r="F89" s="16">
        <v>0</v>
      </c>
      <c r="G89" s="16">
        <v>3</v>
      </c>
    </row>
    <row r="90" spans="2:7" ht="12.75">
      <c r="B90" s="18" t="b">
        <f>IF(AND(C67-C76&lt;=C113,C69=3,C68=0),(C67-C113),C76)</f>
        <v>0</v>
      </c>
      <c r="C90" s="15">
        <f t="shared" si="2"/>
        <v>0</v>
      </c>
      <c r="D90" s="15">
        <f>C113</f>
        <v>1422.4140000000002</v>
      </c>
      <c r="E90" s="16">
        <v>3</v>
      </c>
      <c r="F90" s="16">
        <v>0</v>
      </c>
      <c r="G90" s="16">
        <v>4</v>
      </c>
    </row>
    <row r="91" spans="2:7" ht="12.75">
      <c r="B91" s="18" t="b">
        <f>IF(AND(C67-C76&lt;=C114,C69=4,C68=0),(C67-C114),C76)</f>
        <v>0</v>
      </c>
      <c r="C91" s="15">
        <f t="shared" si="2"/>
        <v>0</v>
      </c>
      <c r="D91" s="15">
        <f>C114</f>
        <v>1580.4600000000003</v>
      </c>
      <c r="E91" s="16">
        <v>4</v>
      </c>
      <c r="F91" s="16">
        <v>0</v>
      </c>
      <c r="G91" s="16">
        <v>5</v>
      </c>
    </row>
    <row r="92" spans="2:7" ht="12.75">
      <c r="B92" s="18" t="b">
        <f>IF(AND(C67-C76&lt;=C114,C69&gt;=5),(C67-C114),C76)</f>
        <v>0</v>
      </c>
      <c r="C92" s="15">
        <f t="shared" si="2"/>
        <v>0</v>
      </c>
      <c r="D92" s="15">
        <f>C114</f>
        <v>1580.4600000000003</v>
      </c>
      <c r="E92" s="16" t="s">
        <v>75</v>
      </c>
      <c r="F92" s="16"/>
      <c r="G92" s="16" t="s">
        <v>75</v>
      </c>
    </row>
    <row r="93" spans="2:7" ht="12.75">
      <c r="B93" s="18" t="b">
        <f>IF(AND(C67-C76&lt;=C109,C69=0,C68&gt;0),(C67-C109),C76)</f>
        <v>0</v>
      </c>
      <c r="C93" s="15">
        <f t="shared" si="2"/>
        <v>0</v>
      </c>
      <c r="D93" s="15">
        <f aca="true" t="shared" si="3" ref="D93:D98">C109</f>
        <v>790.23</v>
      </c>
      <c r="E93" s="16">
        <v>0</v>
      </c>
      <c r="F93" s="16" t="s">
        <v>72</v>
      </c>
      <c r="G93" s="16">
        <v>0</v>
      </c>
    </row>
    <row r="94" spans="2:7" ht="12.75">
      <c r="B94" s="18" t="b">
        <f>IF(AND(C67-C76&lt;=C110,C69=1,C68&gt;0),(C67-C110),C76)</f>
        <v>0</v>
      </c>
      <c r="C94" s="15">
        <f t="shared" si="2"/>
        <v>0</v>
      </c>
      <c r="D94" s="15">
        <f t="shared" si="3"/>
        <v>948.2760000000001</v>
      </c>
      <c r="E94" s="16">
        <v>1</v>
      </c>
      <c r="F94" s="16" t="s">
        <v>72</v>
      </c>
      <c r="G94" s="16">
        <v>1</v>
      </c>
    </row>
    <row r="95" spans="2:7" ht="12.75">
      <c r="B95" s="18" t="b">
        <f>IF(AND(C67-C76&lt;=C111,C69=2,C68&gt;0),(C67-C111),C76)</f>
        <v>0</v>
      </c>
      <c r="C95" s="15">
        <f t="shared" si="2"/>
        <v>0</v>
      </c>
      <c r="D95" s="15">
        <f t="shared" si="3"/>
        <v>1106.3220000000001</v>
      </c>
      <c r="E95" s="16">
        <v>2</v>
      </c>
      <c r="F95" s="16" t="s">
        <v>72</v>
      </c>
      <c r="G95" s="16">
        <v>2</v>
      </c>
    </row>
    <row r="96" spans="2:7" ht="12.75">
      <c r="B96" s="18" t="b">
        <f>IF(AND(C67-C76&lt;=C112,C69=3,C68&gt;0),(C67-C112),C76)</f>
        <v>0</v>
      </c>
      <c r="C96" s="15">
        <f t="shared" si="2"/>
        <v>0</v>
      </c>
      <c r="D96" s="15">
        <f t="shared" si="3"/>
        <v>1264.3680000000002</v>
      </c>
      <c r="E96" s="16">
        <v>3</v>
      </c>
      <c r="F96" s="16" t="s">
        <v>72</v>
      </c>
      <c r="G96" s="16">
        <v>3</v>
      </c>
    </row>
    <row r="97" spans="2:7" ht="12.75">
      <c r="B97" s="18" t="b">
        <f>IF(AND(C67-C76&lt;=C113,C69=4,C68&gt;0),(C67-C113),C76)</f>
        <v>0</v>
      </c>
      <c r="C97" s="15">
        <f t="shared" si="2"/>
        <v>0</v>
      </c>
      <c r="D97" s="15">
        <f t="shared" si="3"/>
        <v>1422.4140000000002</v>
      </c>
      <c r="E97" s="16">
        <v>4</v>
      </c>
      <c r="F97" s="16" t="s">
        <v>72</v>
      </c>
      <c r="G97" s="16">
        <v>4</v>
      </c>
    </row>
    <row r="98" spans="2:7" ht="12.75">
      <c r="B98" s="18" t="b">
        <f>IF(AND(C67-C76&lt;=C114,C69&gt;=5,C68&gt;0),(C67-C114),C76)</f>
        <v>0</v>
      </c>
      <c r="C98" s="15">
        <f t="shared" si="2"/>
        <v>0</v>
      </c>
      <c r="D98" s="15">
        <f t="shared" si="3"/>
        <v>1580.4600000000003</v>
      </c>
      <c r="E98" s="16" t="s">
        <v>75</v>
      </c>
      <c r="F98" s="16" t="s">
        <v>72</v>
      </c>
      <c r="G98" s="16" t="s">
        <v>75</v>
      </c>
    </row>
    <row r="108" ht="12.75">
      <c r="A108" s="4" t="s">
        <v>76</v>
      </c>
    </row>
    <row r="109" spans="1:5" ht="12.75">
      <c r="A109" s="4">
        <v>0</v>
      </c>
      <c r="B109" t="s">
        <v>19</v>
      </c>
      <c r="C109" s="19">
        <f>Einkommen!C23-(Einkommen!C23*0.25)</f>
        <v>790.23</v>
      </c>
      <c r="D109" s="19">
        <f>C109*0.2</f>
        <v>158.04600000000002</v>
      </c>
      <c r="E109" t="s">
        <v>81</v>
      </c>
    </row>
    <row r="110" spans="1:3" ht="12.75">
      <c r="A110" s="4">
        <v>1</v>
      </c>
      <c r="B110" t="s">
        <v>20</v>
      </c>
      <c r="C110" s="19">
        <f>C109+D109</f>
        <v>948.2760000000001</v>
      </c>
    </row>
    <row r="111" spans="1:3" ht="12.75">
      <c r="A111" s="4">
        <v>2</v>
      </c>
      <c r="B111" t="s">
        <v>21</v>
      </c>
      <c r="C111" s="19">
        <f>C110+D109</f>
        <v>1106.3220000000001</v>
      </c>
    </row>
    <row r="112" spans="1:3" ht="12.75">
      <c r="A112" s="4">
        <v>3</v>
      </c>
      <c r="B112" t="s">
        <v>22</v>
      </c>
      <c r="C112" s="19">
        <f>C111+D109</f>
        <v>1264.3680000000002</v>
      </c>
    </row>
    <row r="113" spans="1:3" ht="12.75">
      <c r="A113" s="4">
        <v>4</v>
      </c>
      <c r="B113" t="s">
        <v>23</v>
      </c>
      <c r="C113" s="19">
        <f>C112+D109</f>
        <v>1422.4140000000002</v>
      </c>
    </row>
    <row r="114" spans="1:3" ht="12.75">
      <c r="A114" s="4">
        <v>5</v>
      </c>
      <c r="B114" t="s">
        <v>24</v>
      </c>
      <c r="C114" s="19">
        <f>C113+D109</f>
        <v>1580.4600000000003</v>
      </c>
    </row>
  </sheetData>
  <sheetProtection password="EA84" sheet="1"/>
  <printOptions/>
  <pageMargins left="0.787401575" right="0.787401575" top="0.984251969" bottom="0.984251969" header="0.4921259845" footer="0.4921259845"/>
  <pageSetup horizontalDpi="600" verticalDpi="600" orientation="portrait" paperSize="9" r:id="rId1"/>
  <headerFooter alignWithMargins="0">
    <oddHeader>&amp;CSOZW1040</oddHeader>
  </headerFooter>
</worksheet>
</file>

<file path=xl/worksheets/sheet5.xml><?xml version="1.0" encoding="utf-8"?>
<worksheet xmlns="http://schemas.openxmlformats.org/spreadsheetml/2006/main" xmlns:r="http://schemas.openxmlformats.org/officeDocument/2006/relationships">
  <sheetPr codeName="Tabelle5"/>
  <dimension ref="A1:D41"/>
  <sheetViews>
    <sheetView tabSelected="1" view="pageLayout" workbookViewId="0" topLeftCell="A1">
      <selection activeCell="D109" sqref="D109"/>
    </sheetView>
  </sheetViews>
  <sheetFormatPr defaultColWidth="11.421875" defaultRowHeight="21" customHeight="1"/>
  <cols>
    <col min="1" max="1" width="69.00390625" style="44" customWidth="1"/>
    <col min="2" max="3" width="10.421875" style="44" bestFit="1" customWidth="1"/>
    <col min="4" max="4" width="13.00390625" style="44" customWidth="1"/>
    <col min="5" max="16384" width="11.421875" style="44" customWidth="1"/>
  </cols>
  <sheetData>
    <row r="1" spans="1:4" ht="21" customHeight="1">
      <c r="A1" s="74" t="s">
        <v>107</v>
      </c>
      <c r="B1" s="74"/>
      <c r="C1" s="74"/>
      <c r="D1" s="74"/>
    </row>
    <row r="2" spans="1:4" ht="16.5" customHeight="1">
      <c r="A2" s="20" t="s">
        <v>0</v>
      </c>
      <c r="B2" s="137"/>
      <c r="C2" s="137"/>
      <c r="D2" s="138"/>
    </row>
    <row r="3" spans="1:4" ht="19.5" customHeight="1">
      <c r="A3" s="81" t="s">
        <v>113</v>
      </c>
      <c r="B3" s="124"/>
      <c r="C3" s="124"/>
      <c r="D3" s="125"/>
    </row>
    <row r="4" spans="1:4" ht="16.5" customHeight="1">
      <c r="A4" s="81" t="s">
        <v>112</v>
      </c>
      <c r="B4" s="124"/>
      <c r="C4" s="124"/>
      <c r="D4" s="125"/>
    </row>
    <row r="5" spans="1:4" ht="28.5" customHeight="1">
      <c r="A5" s="76" t="s">
        <v>109</v>
      </c>
      <c r="B5" s="124"/>
      <c r="C5" s="124"/>
      <c r="D5" s="125"/>
    </row>
    <row r="6" spans="1:4" ht="16.5" customHeight="1">
      <c r="A6" s="43" t="s">
        <v>115</v>
      </c>
      <c r="B6" s="124"/>
      <c r="C6" s="124"/>
      <c r="D6" s="125"/>
    </row>
    <row r="7" spans="1:4" ht="16.5" customHeight="1">
      <c r="A7" s="43" t="s">
        <v>116</v>
      </c>
      <c r="B7" s="139"/>
      <c r="C7" s="140"/>
      <c r="D7" s="141"/>
    </row>
    <row r="8" spans="1:4" ht="30.75" customHeight="1">
      <c r="A8" s="81" t="s">
        <v>117</v>
      </c>
      <c r="B8" s="124"/>
      <c r="C8" s="124"/>
      <c r="D8" s="125"/>
    </row>
    <row r="9" spans="1:4" ht="44.25" customHeight="1">
      <c r="A9" s="75" t="s">
        <v>118</v>
      </c>
      <c r="B9" s="144"/>
      <c r="C9" s="144"/>
      <c r="D9" s="145"/>
    </row>
    <row r="10" spans="1:4" ht="17.25" customHeight="1">
      <c r="A10" s="46" t="s">
        <v>119</v>
      </c>
      <c r="B10" s="139"/>
      <c r="C10" s="140"/>
      <c r="D10" s="141"/>
    </row>
    <row r="11" spans="1:4" ht="16.5" customHeight="1" thickBot="1">
      <c r="A11" s="46" t="s">
        <v>108</v>
      </c>
      <c r="B11" s="139"/>
      <c r="C11" s="140"/>
      <c r="D11" s="141"/>
    </row>
    <row r="12" spans="1:4" ht="21" customHeight="1" thickBot="1">
      <c r="A12" s="109" t="s">
        <v>10</v>
      </c>
      <c r="B12" s="110"/>
      <c r="C12" s="110"/>
      <c r="D12" s="111"/>
    </row>
    <row r="13" spans="1:4" ht="21" customHeight="1" thickBot="1">
      <c r="A13" s="21" t="s">
        <v>1</v>
      </c>
      <c r="B13" s="142"/>
      <c r="C13" s="143"/>
      <c r="D13" s="28"/>
    </row>
    <row r="14" spans="1:4" ht="21" customHeight="1" thickBot="1">
      <c r="A14" s="22" t="s">
        <v>13</v>
      </c>
      <c r="B14" s="112">
        <f>ROUND(IF(Pflegegeld!C14&lt;0,0,Pflegegeld!C14),0)</f>
        <v>0</v>
      </c>
      <c r="C14" s="113"/>
      <c r="D14" s="29"/>
    </row>
    <row r="15" spans="1:4" ht="21" customHeight="1" thickBot="1">
      <c r="A15" s="109" t="s">
        <v>11</v>
      </c>
      <c r="B15" s="110"/>
      <c r="C15" s="110"/>
      <c r="D15" s="111"/>
    </row>
    <row r="16" spans="1:4" ht="21" customHeight="1">
      <c r="A16" s="23" t="s">
        <v>2</v>
      </c>
      <c r="B16" s="122"/>
      <c r="C16" s="123"/>
      <c r="D16" s="134"/>
    </row>
    <row r="17" spans="1:4" ht="21" customHeight="1" thickBot="1">
      <c r="A17" s="30" t="s">
        <v>3</v>
      </c>
      <c r="B17" s="118"/>
      <c r="C17" s="119"/>
      <c r="D17" s="134"/>
    </row>
    <row r="18" spans="1:4" ht="21" customHeight="1" thickBot="1">
      <c r="A18" s="22" t="s">
        <v>13</v>
      </c>
      <c r="B18" s="116" t="e">
        <f>ROUND(IF(B6="j",Einkommen!D16,IF(B7="j",Einkommen!D15,IF(B8="J",Einkommen!E16,IF(Einkommen!C16&lt;0,0,Einkommen!C16)))),0)</f>
        <v>#N/A</v>
      </c>
      <c r="C18" s="117"/>
      <c r="D18" s="135"/>
    </row>
    <row r="19" spans="1:4" ht="5.25" customHeight="1" thickBot="1">
      <c r="A19" s="136"/>
      <c r="B19" s="136"/>
      <c r="C19" s="136"/>
      <c r="D19" s="136"/>
    </row>
    <row r="20" spans="1:4" ht="21" customHeight="1" thickBot="1">
      <c r="A20" s="109" t="s">
        <v>12</v>
      </c>
      <c r="B20" s="110"/>
      <c r="C20" s="110"/>
      <c r="D20" s="111"/>
    </row>
    <row r="21" spans="1:4" ht="21" customHeight="1" thickBot="1">
      <c r="A21" s="82" t="s">
        <v>4</v>
      </c>
      <c r="B21" s="83"/>
      <c r="C21" s="84"/>
      <c r="D21" s="34"/>
    </row>
    <row r="22" spans="1:4" ht="15.75" customHeight="1" thickBot="1">
      <c r="A22" s="41"/>
      <c r="B22" s="35" t="s">
        <v>83</v>
      </c>
      <c r="C22" s="42" t="s">
        <v>84</v>
      </c>
      <c r="D22" s="28"/>
    </row>
    <row r="23" spans="1:4" ht="21" customHeight="1">
      <c r="A23" s="31" t="s">
        <v>85</v>
      </c>
      <c r="B23" s="91"/>
      <c r="C23" s="97"/>
      <c r="D23" s="28"/>
    </row>
    <row r="24" spans="1:4" ht="21" customHeight="1">
      <c r="A24" s="24" t="s">
        <v>5</v>
      </c>
      <c r="B24" s="92"/>
      <c r="C24" s="97"/>
      <c r="D24" s="28"/>
    </row>
    <row r="25" spans="1:4" ht="25.5" customHeight="1">
      <c r="A25" s="24" t="s">
        <v>114</v>
      </c>
      <c r="B25" s="93"/>
      <c r="C25" s="93"/>
      <c r="D25" s="101" t="str">
        <f>IF(ISBLANK(B25),"Bitte Feld eingeben!",IF(ISBLANK(C25),"Bitte Feld eingeben!",""))</f>
        <v>Bitte Feld eingeben!</v>
      </c>
    </row>
    <row r="26" spans="1:4" ht="26.25" customHeight="1">
      <c r="A26" s="88" t="s">
        <v>86</v>
      </c>
      <c r="B26" s="94"/>
      <c r="C26" s="95"/>
      <c r="D26" s="101"/>
    </row>
    <row r="27" spans="1:4" ht="21" customHeight="1">
      <c r="A27" s="24" t="s">
        <v>8</v>
      </c>
      <c r="B27" s="95"/>
      <c r="C27" s="98"/>
      <c r="D27" s="28"/>
    </row>
    <row r="28" spans="1:4" ht="21" customHeight="1" thickBot="1">
      <c r="A28" s="25" t="s">
        <v>9</v>
      </c>
      <c r="B28" s="96"/>
      <c r="C28" s="94"/>
      <c r="D28" s="28"/>
    </row>
    <row r="29" spans="1:4" ht="21" customHeight="1" thickBot="1">
      <c r="A29" s="33" t="s">
        <v>13</v>
      </c>
      <c r="B29" s="87">
        <f>ROUND(IF(B6="j",Unterhalt!C20,IF(B7="j",Unterhalt!D20,IF(B8="j",Unterhalt!C21,IF(Unterhalt!D18&lt;0,0,Unterhalt!D18)))),0)</f>
        <v>0</v>
      </c>
      <c r="C29" s="32">
        <f>ROUND(IF(B6="j",Unterhalt!H20,IF(B7="j",Unterhalt!G20,IF(B8="j",Unterhalt!H21,IF(Unterhalt!G18&lt;0,0,Unterhalt!G18)))),0)</f>
        <v>0</v>
      </c>
      <c r="D29" s="100"/>
    </row>
    <row r="30" spans="1:4" ht="21" customHeight="1" thickBot="1">
      <c r="A30" s="85" t="s">
        <v>102</v>
      </c>
      <c r="B30" s="86"/>
      <c r="C30" s="86"/>
      <c r="D30" s="99"/>
    </row>
    <row r="31" spans="1:4" ht="21" customHeight="1">
      <c r="A31" s="62" t="s">
        <v>14</v>
      </c>
      <c r="B31" s="130"/>
      <c r="C31" s="131"/>
      <c r="D31" s="28"/>
    </row>
    <row r="32" spans="1:4" ht="21" customHeight="1">
      <c r="A32" s="24" t="s">
        <v>15</v>
      </c>
      <c r="B32" s="120">
        <f>0</f>
        <v>0</v>
      </c>
      <c r="C32" s="121"/>
      <c r="D32" s="28"/>
    </row>
    <row r="33" spans="1:4" ht="21" customHeight="1" thickBot="1">
      <c r="A33" s="63" t="s">
        <v>7</v>
      </c>
      <c r="B33" s="114"/>
      <c r="C33" s="115"/>
      <c r="D33" s="28"/>
    </row>
    <row r="34" spans="1:4" ht="21" customHeight="1" thickBot="1">
      <c r="A34" s="22" t="s">
        <v>13</v>
      </c>
      <c r="B34" s="112">
        <f>ROUND(IF(Unterhalt!D82&lt;0,0,Unterhalt!D82),0)</f>
        <v>0</v>
      </c>
      <c r="C34" s="113"/>
      <c r="D34" s="29"/>
    </row>
    <row r="35" spans="1:4" ht="5.25" customHeight="1">
      <c r="A35" s="38"/>
      <c r="B35" s="39"/>
      <c r="C35" s="39"/>
      <c r="D35" s="40"/>
    </row>
    <row r="36" spans="1:4" ht="5.25" customHeight="1" thickBot="1">
      <c r="A36" s="37"/>
      <c r="B36" s="37"/>
      <c r="C36" s="37"/>
      <c r="D36" s="37"/>
    </row>
    <row r="37" spans="1:4" ht="21" customHeight="1" thickBot="1">
      <c r="A37" s="45" t="s">
        <v>16</v>
      </c>
      <c r="B37" s="128" t="e">
        <f>B14+B18+B29+B34+C29</f>
        <v>#N/A</v>
      </c>
      <c r="C37" s="129"/>
      <c r="D37" s="132" t="b">
        <f>IF(OR(B3="j",B4="j",B6="j",B7="j",B10="j",B11="j"),(22),IF(B8="j",(31),IF(OR(B5="j",B9="j"),(31))))</f>
        <v>0</v>
      </c>
    </row>
    <row r="38" spans="1:4" ht="21" customHeight="1" thickBot="1">
      <c r="A38" s="36" t="s">
        <v>88</v>
      </c>
      <c r="B38" s="126" t="b">
        <f>IF(OR(B3="j",B4="j",B6="j",B7="j",B10="j",B11="j"),(B37/22),IF(B8="j",(B37/31),IF(OR(B5="j",B9="j"),(B37/31))))</f>
        <v>0</v>
      </c>
      <c r="C38" s="127"/>
      <c r="D38" s="133"/>
    </row>
    <row r="39" spans="1:4" ht="21" customHeight="1">
      <c r="A39" s="64" t="s">
        <v>103</v>
      </c>
      <c r="B39" s="65"/>
      <c r="C39" s="65"/>
      <c r="D39" s="66"/>
    </row>
    <row r="40" spans="1:4" ht="27" customHeight="1">
      <c r="A40" s="78"/>
      <c r="B40" s="79"/>
      <c r="C40" s="79"/>
      <c r="D40" s="80"/>
    </row>
    <row r="41" ht="16.5" customHeight="1">
      <c r="A41" s="77"/>
    </row>
  </sheetData>
  <sheetProtection password="EA84" sheet="1" scenarios="1" selectLockedCells="1"/>
  <protectedRanges>
    <protectedRange sqref="B33:C33 B13:C13 B16:C17 B2:D11 B31:C31 B23:C28" name="Bereich1"/>
  </protectedRanges>
  <mergeCells count="27">
    <mergeCell ref="B2:D2"/>
    <mergeCell ref="B3:D3"/>
    <mergeCell ref="B7:D7"/>
    <mergeCell ref="B13:C13"/>
    <mergeCell ref="B5:D5"/>
    <mergeCell ref="B4:D4"/>
    <mergeCell ref="B9:D9"/>
    <mergeCell ref="B6:D6"/>
    <mergeCell ref="B10:D10"/>
    <mergeCell ref="B11:D11"/>
    <mergeCell ref="B8:D8"/>
    <mergeCell ref="B34:C34"/>
    <mergeCell ref="B38:C38"/>
    <mergeCell ref="B37:C37"/>
    <mergeCell ref="B31:C31"/>
    <mergeCell ref="A12:D12"/>
    <mergeCell ref="D37:D38"/>
    <mergeCell ref="A15:D15"/>
    <mergeCell ref="D16:D18"/>
    <mergeCell ref="A19:D19"/>
    <mergeCell ref="A20:D20"/>
    <mergeCell ref="B14:C14"/>
    <mergeCell ref="B33:C33"/>
    <mergeCell ref="B18:C18"/>
    <mergeCell ref="B17:C17"/>
    <mergeCell ref="B32:C32"/>
    <mergeCell ref="B16:C16"/>
  </mergeCells>
  <conditionalFormatting sqref="B25">
    <cfRule type="expression" priority="2" dxfId="0" stopIfTrue="1">
      <formula>ISBLANK(B25)</formula>
    </cfRule>
  </conditionalFormatting>
  <conditionalFormatting sqref="C25">
    <cfRule type="expression" priority="1" dxfId="0" stopIfTrue="1">
      <formula>ISBLANK(C25)</formula>
    </cfRule>
  </conditionalFormatting>
  <dataValidations count="5">
    <dataValidation type="custom" showInputMessage="1" showErrorMessage="1" promptTitle="Nur Einkommen" prompt="Wenn Einkommen und Unterhalt, dann nur Einkommen." errorTitle="FEHLER" sqref="B31">
      <formula1>IF(B16&gt;0,"leer",B31)</formula1>
    </dataValidation>
    <dataValidation showInputMessage="1" showErrorMessage="1" promptTitle="§ 4 (5) Kostenbeitrags-VO" prompt="Bei den Leistungen nach § 23 Abs. 1. lit. a,b und c sollte nur der &quot;Besserverdiener&quot; herangezogen werden." errorTitle="Fehler" sqref="B27"/>
    <dataValidation showInputMessage="1" showErrorMessage="1" promptTitle="§ 4 (5) Kostenbeitrags-VO" prompt="Bei den Leistungen nach § 23 Abs. 1. lit. a,b und c sollte nur der &quot;Besserverdiener&quot; herangezogen werden." errorTitle="Fehler" sqref="C27"/>
    <dataValidation showInputMessage="1" showErrorMessage="1" promptTitle="§ 4 (5) Kostenbeitrags-VO" prompt="Bei den Leistungen nach § 23 Abs. 1. lit. a,b und c sollte nur der &quot;Besserverdiener&quot; herangezogen werden." errorTitle="Fehler" sqref="B28"/>
    <dataValidation showInputMessage="1" showErrorMessage="1" promptTitle="§ 4 (5) Kostenbeitrags-VO" prompt="Bei den Leistungen nach § 23 Abs. 1. lit. a,b und c sollte nur der &quot;Besserverdiener&quot; herangezogen werden." errorTitle="Fehler" sqref="C28"/>
  </dataValidations>
  <printOptions/>
  <pageMargins left="0.7874015748031497" right="0.7874015748031497" top="0.984251968503937" bottom="0.984251968503937" header="0.5118110236220472" footer="0.5118110236220472"/>
  <pageSetup horizontalDpi="600" verticalDpi="600" orientation="portrait" paperSize="9" scale="83" r:id="rId3"/>
  <headerFooter alignWithMargins="0">
    <oddHeader>&amp;LKostenbeitragsberechnung für ambulante und stationäre Leistungen
Jänner 2022
</oddHeader>
    <oddFooter>&amp;R&amp;D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 Tirol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U0286028</dc:creator>
  <cp:keywords/>
  <dc:description/>
  <cp:lastModifiedBy>PÖRNBACHER Christoph</cp:lastModifiedBy>
  <cp:lastPrinted>2019-01-21T08:55:03Z</cp:lastPrinted>
  <dcterms:created xsi:type="dcterms:W3CDTF">2009-02-11T06:20:34Z</dcterms:created>
  <dcterms:modified xsi:type="dcterms:W3CDTF">2023-02-01T08:09:32Z</dcterms:modified>
  <cp:category/>
  <cp:version/>
  <cp:contentType/>
  <cp:contentStatus/>
</cp:coreProperties>
</file>